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СОВЕТ 2023\ПМР\Актуальная редакция\9.Сентябрь ПМР\"/>
    </mc:Choice>
  </mc:AlternateContent>
  <bookViews>
    <workbookView xWindow="-120" yWindow="-120" windowWidth="25440" windowHeight="15390"/>
  </bookViews>
  <sheets>
    <sheet name="Сентябрь" sheetId="79" r:id="rId1"/>
  </sheets>
  <definedNames>
    <definedName name="_xlnm.Print_Area" localSheetId="0">Сентябрь!$A$1:$H$185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82" i="79" l="1"/>
  <c r="F105" i="79"/>
  <c r="F166" i="79"/>
  <c r="F140" i="79"/>
  <c r="F138" i="79"/>
  <c r="F153" i="79" l="1"/>
  <c r="F144" i="79"/>
  <c r="F159" i="79"/>
  <c r="F11" i="79" l="1"/>
  <c r="F178" i="79" l="1"/>
  <c r="F44" i="79" l="1"/>
  <c r="F95" i="79"/>
  <c r="F88" i="79" l="1"/>
  <c r="F8" i="79" l="1"/>
  <c r="F7" i="79"/>
  <c r="F26" i="79"/>
  <c r="F43" i="79"/>
  <c r="F64" i="79"/>
  <c r="F28" i="79"/>
  <c r="F10" i="79"/>
  <c r="F71" i="79"/>
  <c r="F60" i="79"/>
  <c r="F50" i="79"/>
  <c r="F27" i="79"/>
  <c r="F78" i="79" l="1"/>
  <c r="F174" i="79"/>
  <c r="F94" i="79" l="1"/>
  <c r="F92" i="79"/>
  <c r="H183" i="79" l="1"/>
  <c r="G183" i="79"/>
  <c r="F183" i="79"/>
  <c r="F180" i="79"/>
  <c r="H179" i="79"/>
  <c r="F176" i="79"/>
  <c r="H174" i="79"/>
  <c r="G174" i="79"/>
  <c r="H173" i="79"/>
  <c r="G173" i="79"/>
  <c r="F173" i="79"/>
  <c r="H172" i="79"/>
  <c r="G172" i="79"/>
  <c r="F172" i="79"/>
  <c r="F171" i="79"/>
  <c r="F170" i="79"/>
  <c r="F169" i="79"/>
  <c r="F168" i="79"/>
  <c r="F165" i="79"/>
  <c r="H162" i="79"/>
  <c r="G162" i="79"/>
  <c r="F158" i="79"/>
  <c r="F157" i="79"/>
  <c r="F156" i="79"/>
  <c r="F155" i="79"/>
  <c r="H154" i="79"/>
  <c r="G154" i="79"/>
  <c r="F154" i="79"/>
  <c r="H153" i="79"/>
  <c r="G153" i="79"/>
  <c r="F152" i="79"/>
  <c r="H151" i="79"/>
  <c r="G151" i="79"/>
  <c r="F151" i="79"/>
  <c r="F150" i="79"/>
  <c r="F149" i="79"/>
  <c r="F148" i="79"/>
  <c r="H147" i="79"/>
  <c r="H91" i="79" s="1"/>
  <c r="G147" i="79"/>
  <c r="F147" i="79"/>
  <c r="F143" i="79"/>
  <c r="G139" i="79"/>
  <c r="F139" i="79"/>
  <c r="G137" i="79"/>
  <c r="F137" i="79"/>
  <c r="H136" i="79"/>
  <c r="G136" i="79"/>
  <c r="F136" i="79"/>
  <c r="H135" i="79"/>
  <c r="G135" i="79"/>
  <c r="F135" i="79"/>
  <c r="F134" i="79"/>
  <c r="F130" i="79"/>
  <c r="F128" i="79"/>
  <c r="H127" i="79"/>
  <c r="G127" i="79"/>
  <c r="F125" i="79"/>
  <c r="F124" i="79"/>
  <c r="F123" i="79"/>
  <c r="F120" i="79"/>
  <c r="H119" i="79"/>
  <c r="G119" i="79"/>
  <c r="H118" i="79"/>
  <c r="G118" i="79"/>
  <c r="G91" i="79" s="1"/>
  <c r="F115" i="79"/>
  <c r="F114" i="79"/>
  <c r="F104" i="79"/>
  <c r="F103" i="79"/>
  <c r="F102" i="79"/>
  <c r="F101" i="79"/>
  <c r="F99" i="79"/>
  <c r="F91" i="79"/>
  <c r="F87" i="79"/>
  <c r="H86" i="79"/>
  <c r="G86" i="79"/>
  <c r="F86" i="79"/>
  <c r="F79" i="79"/>
  <c r="H77" i="79"/>
  <c r="G77" i="79"/>
  <c r="F77" i="79"/>
  <c r="F76" i="79"/>
  <c r="F75" i="79"/>
  <c r="H72" i="79"/>
  <c r="G72" i="79"/>
  <c r="F72" i="79"/>
  <c r="H71" i="79"/>
  <c r="G71" i="79"/>
  <c r="H68" i="79"/>
  <c r="G68" i="79"/>
  <c r="F68" i="79"/>
  <c r="H66" i="79"/>
  <c r="G66" i="79"/>
  <c r="F66" i="79"/>
  <c r="H64" i="79"/>
  <c r="G64" i="79"/>
  <c r="H60" i="79"/>
  <c r="G60" i="79"/>
  <c r="H59" i="79"/>
  <c r="G59" i="79"/>
  <c r="F59" i="79"/>
  <c r="H58" i="79"/>
  <c r="G58" i="79"/>
  <c r="F58" i="79"/>
  <c r="G57" i="79"/>
  <c r="F57" i="79"/>
  <c r="H56" i="79"/>
  <c r="G56" i="79"/>
  <c r="F56" i="79"/>
  <c r="G55" i="79"/>
  <c r="F55" i="79"/>
  <c r="F54" i="79"/>
  <c r="H50" i="79"/>
  <c r="G50" i="79"/>
  <c r="F49" i="79"/>
  <c r="F48" i="79"/>
  <c r="H47" i="79"/>
  <c r="G47" i="79"/>
  <c r="H46" i="79"/>
  <c r="G46" i="79"/>
  <c r="F46" i="79"/>
  <c r="F41" i="79"/>
  <c r="F40" i="79"/>
  <c r="H39" i="79"/>
  <c r="G39" i="79"/>
  <c r="F39" i="79"/>
  <c r="H38" i="79"/>
  <c r="G38" i="79"/>
  <c r="F38" i="79"/>
  <c r="H36" i="79"/>
  <c r="G36" i="79"/>
  <c r="F36" i="79"/>
  <c r="F35" i="79"/>
  <c r="H32" i="79"/>
  <c r="G32" i="79"/>
  <c r="F32" i="79"/>
  <c r="F31" i="79"/>
  <c r="H30" i="79"/>
  <c r="G30" i="79"/>
  <c r="F30" i="79"/>
  <c r="H29" i="79"/>
  <c r="G29" i="79"/>
  <c r="F29" i="79"/>
  <c r="H28" i="79"/>
  <c r="G28" i="79"/>
  <c r="H27" i="79"/>
  <c r="G27" i="79"/>
  <c r="H25" i="79"/>
  <c r="G25" i="79"/>
  <c r="F25" i="79"/>
  <c r="H24" i="79"/>
  <c r="G24" i="79"/>
  <c r="H23" i="79"/>
  <c r="G23" i="79"/>
  <c r="F23" i="79"/>
  <c r="H21" i="79"/>
  <c r="G21" i="79"/>
  <c r="F21" i="79"/>
  <c r="H20" i="79"/>
  <c r="G20" i="79"/>
  <c r="F20" i="79"/>
  <c r="H18" i="79"/>
  <c r="G18" i="79"/>
  <c r="F18" i="79"/>
  <c r="F17" i="79"/>
  <c r="F16" i="79"/>
  <c r="F15" i="79"/>
  <c r="H13" i="79"/>
  <c r="G13" i="79"/>
  <c r="F13" i="79"/>
  <c r="H12" i="79"/>
  <c r="G12" i="79"/>
  <c r="F12" i="79"/>
  <c r="H11" i="79"/>
  <c r="G11" i="79"/>
  <c r="H10" i="79"/>
  <c r="G10" i="79"/>
  <c r="H8" i="79"/>
  <c r="G8" i="79"/>
  <c r="F6" i="79"/>
  <c r="H7" i="79"/>
  <c r="G7" i="79"/>
  <c r="G6" i="79" s="1"/>
  <c r="G185" i="79" s="1"/>
  <c r="H6" i="79"/>
  <c r="H185" i="79" s="1"/>
  <c r="F185" i="79" l="1"/>
</calcChain>
</file>

<file path=xl/sharedStrings.xml><?xml version="1.0" encoding="utf-8"?>
<sst xmlns="http://schemas.openxmlformats.org/spreadsheetml/2006/main" count="896" uniqueCount="325">
  <si>
    <t>Единица измерения: руб.</t>
  </si>
  <si>
    <t>Наименование расходов</t>
  </si>
  <si>
    <t>Код главы</t>
  </si>
  <si>
    <t>2023 год</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</si>
  <si>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</si>
  <si>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</si>
  <si>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</si>
  <si>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</si>
  <si>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</si>
  <si>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</si>
  <si>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</si>
  <si>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</si>
  <si>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</si>
  <si>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</si>
  <si>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</si>
  <si>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</si>
  <si>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</si>
  <si>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</si>
  <si>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</si>
  <si>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</si>
  <si>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</si>
  <si>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03 1 06 08590</t>
  </si>
  <si>
    <t xml:space="preserve">Расходы на мероприятия по обучению детей-инвалидов (Закупка товаров, работ и услуг для обеспечения государственных (муниципальных) нужд) </t>
  </si>
  <si>
    <t>03 5 01 01490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</si>
  <si>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</si>
  <si>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</si>
  <si>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</si>
  <si>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</si>
  <si>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</si>
  <si>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</si>
  <si>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</si>
  <si>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03 1 02 53031</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</si>
  <si>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</si>
  <si>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</si>
  <si>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</si>
  <si>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</si>
  <si>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</si>
  <si>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</si>
  <si>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</si>
  <si>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</si>
  <si>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</si>
  <si>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</si>
  <si>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</si>
  <si>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03 1 03 81420</t>
  </si>
  <si>
    <t>03 1 03 S1420</t>
  </si>
  <si>
    <t>03 1 03 81440</t>
  </si>
  <si>
    <t>03 1 03 S1440</t>
  </si>
  <si>
    <t>0707</t>
  </si>
  <si>
    <t>03 4 01 00100</t>
  </si>
  <si>
    <t>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</si>
  <si>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</si>
  <si>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</si>
  <si>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</si>
  <si>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</si>
  <si>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</si>
  <si>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</si>
  <si>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</si>
  <si>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</si>
  <si>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</si>
  <si>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</si>
  <si>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</si>
  <si>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</si>
  <si>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</si>
  <si>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</si>
  <si>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</si>
  <si>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</si>
  <si>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</si>
  <si>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</si>
  <si>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</si>
  <si>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</si>
  <si>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</si>
  <si>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</si>
  <si>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</si>
  <si>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</si>
  <si>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</si>
  <si>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</si>
  <si>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</si>
  <si>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</si>
  <si>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</si>
  <si>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</si>
  <si>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</si>
  <si>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</si>
  <si>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</si>
  <si>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</si>
  <si>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</si>
  <si>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</si>
  <si>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</si>
  <si>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</si>
  <si>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</si>
  <si>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</si>
  <si>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</si>
  <si>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</si>
  <si>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</si>
  <si>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</si>
  <si>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</si>
  <si>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</si>
  <si>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</si>
  <si>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</si>
  <si>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</si>
  <si>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</si>
  <si>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</si>
  <si>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</si>
  <si>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</si>
  <si>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</si>
  <si>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</si>
  <si>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</si>
  <si>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</si>
  <si>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</si>
  <si>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</si>
  <si>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</si>
  <si>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</si>
  <si>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</si>
  <si>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</si>
  <si>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</si>
  <si>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</si>
  <si>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</si>
  <si>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</si>
  <si>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</si>
  <si>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</si>
  <si>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</si>
  <si>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</si>
  <si>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</si>
  <si>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</si>
  <si>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</si>
  <si>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</si>
  <si>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Проведение экспертизы ПСД на строительство ФАП  (Закупка товаров, работ и услуг для обеспечения государственных (муниципальных) нужд)</t>
  </si>
  <si>
    <t>16 2 01 40030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</si>
  <si>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</si>
  <si>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</si>
  <si>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</si>
  <si>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</si>
  <si>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</si>
  <si>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</si>
  <si>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</si>
  <si>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</si>
  <si>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</si>
  <si>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</si>
  <si>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</si>
  <si>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</si>
  <si>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</si>
  <si>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Расходы связанные с организацией безопасности, содержанием и эксплуатацией гидротехнических сооружений (Иные бюджетные ассигнования)</t>
  </si>
  <si>
    <t>0406</t>
  </si>
  <si>
    <t>05 2 01 90070</t>
  </si>
  <si>
    <t xml:space="preserve">06 2 02 S0540 </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</si>
  <si>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</si>
  <si>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</si>
  <si>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15 1 02 22140</t>
  </si>
  <si>
    <t>Строительный контроль (Закупка товаров, работ и услуг для обеспечения государственных (муниципальных) нужд)</t>
  </si>
  <si>
    <t>15 1 02 23000</t>
  </si>
  <si>
    <t>15 1 02 S0510</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</si>
  <si>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</si>
  <si>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15 1 01 00400</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</si>
  <si>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</si>
  <si>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</si>
  <si>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15 1 01 00450</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</si>
  <si>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</si>
  <si>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</si>
  <si>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</si>
  <si>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</si>
  <si>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</si>
  <si>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</si>
  <si>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</si>
  <si>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</si>
  <si>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</si>
  <si>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</si>
  <si>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Субсидия на реализацию мер по обеспечению экологической безопасности использования, обезвреживания и размещения отходов от объектов жилищного фонда, предприятий и организаций Приволжского муниципального района (Иные бюджетные ассигнования)</t>
  </si>
  <si>
    <t>0503</t>
  </si>
  <si>
    <t>06 1 01 60010</t>
  </si>
  <si>
    <t xml:space="preserve">06 3 01 00430 </t>
  </si>
  <si>
    <t>Субсидия на транспортировку умерших в морг (Иные бюджетные ассигнования)</t>
  </si>
  <si>
    <t>06 3 01 60020</t>
  </si>
  <si>
    <t>Выполнение наказов избирателей (Закупка товаров, работ и услуг для обеспечения государственных (муниципальных) нужд)</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</si>
  <si>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</si>
  <si>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</si>
  <si>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</si>
  <si>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02 1 01 81430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</si>
  <si>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</si>
  <si>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</si>
  <si>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</si>
  <si>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</si>
  <si>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</si>
  <si>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</si>
  <si>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</si>
  <si>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</si>
  <si>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</si>
  <si>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</si>
  <si>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</si>
  <si>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</si>
  <si>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</si>
  <si>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</si>
  <si>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</si>
  <si>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Обеспечение функционирования представительного органа муниципального образования (Иные бюджетные ассигнования)</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</si>
  <si>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</si>
  <si>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</si>
  <si>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40 9 00 01900</t>
  </si>
  <si>
    <t>03 1 Е2 50970</t>
  </si>
  <si>
    <t xml:space="preserve">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</si>
  <si>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</si>
  <si>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</si>
  <si>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</si>
  <si>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06 1 01 26210</t>
  </si>
  <si>
    <t>Ликвидация несанкционированных свалок (Закупка товаров, работ и услуг для обеспечения государственных (муниципальных) нужд)</t>
  </si>
  <si>
    <t>Текущее содержание инженерной защиты (дамбы, дренажные системы, водоперекачивающие станции) (Иные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</si>
  <si>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</si>
  <si>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</si>
  <si>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</si>
  <si>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</si>
  <si>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</si>
  <si>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</si>
  <si>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</si>
  <si>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</si>
  <si>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</si>
  <si>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2024 год</t>
  </si>
  <si>
    <t>36 1 01 03010</t>
  </si>
  <si>
    <t>38 1 01 20980</t>
  </si>
  <si>
    <t>Выполнение мероприятий "Комплексного плана противодействия идеологии терроризма в Российской Федерации на 2019-2023 годы" на территории Приволжского муниципального района (Закупка товаров, работ и услуг для обеспечения государственных (муниципальных) нужд)</t>
  </si>
  <si>
    <t>Организация мероприятий по поддержке одаренных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</si>
  <si>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37 1 01 24000</t>
  </si>
  <si>
    <t>02 1 01 S1430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</si>
  <si>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</si>
  <si>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</si>
  <si>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</si>
  <si>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</si>
  <si>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</si>
  <si>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</si>
  <si>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</si>
  <si>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</si>
  <si>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Обеспечение прочих обязательств администрации (Иные бюджетные ассигнования)</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</si>
  <si>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</si>
  <si>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</si>
  <si>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</si>
  <si>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49 9 00 R0820</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</si>
  <si>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</si>
  <si>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</si>
  <si>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</si>
  <si>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04 2 01 S7000</t>
  </si>
  <si>
    <t>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</si>
  <si>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 xml:space="preserve">0702 </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</si>
  <si>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</si>
  <si>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</si>
  <si>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</si>
  <si>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</si>
  <si>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</si>
  <si>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</si>
  <si>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</si>
  <si>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</si>
  <si>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</si>
  <si>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15 1 02 S8600</t>
  </si>
  <si>
    <t>Финансовое обеспечение дорожной деятельности на автомобильных дорогах общего пользования местного значения (Закупка товаров, работ и услуг для обеспечения государственных (муниципальных) нужд)</t>
  </si>
  <si>
    <t>Ведомственная структура расходов бюджета Приволжского муниципального района на 2023 год и на плановый период 2024 и 2025 годов</t>
  </si>
  <si>
    <t>2025 год</t>
  </si>
  <si>
    <t>17 1 01 60060</t>
  </si>
  <si>
    <t>Возмещение недополученных доходов и (или) финансовое обеспечение (возмещение) затрат в связи с производством (реализацией) товаров, выполнением работ, оказанием услуг (Иные бюджетные ассигнования)</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</si>
  <si>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</si>
  <si>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</si>
  <si>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</si>
  <si>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</si>
  <si>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</si>
  <si>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03 1 04 80090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</si>
  <si>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организаций(Закупка товаров, работ и услуг для обеспечения государственных (муниципальных) нужд)</t>
  </si>
  <si>
    <t>41 9 00 L5990</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</si>
  <si>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</si>
  <si>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</si>
  <si>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</si>
  <si>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</si>
  <si>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</si>
  <si>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</si>
  <si>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</si>
  <si>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</si>
  <si>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</si>
  <si>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</si>
  <si>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</si>
  <si>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Приложение 5
 к решению Совета Приволжского 
муниципального района от 22.12.2022 № 90                                                         
  «О бюджете Приволжского муниципального района  
на 2023 год и плановый период 2024 и 2025 годов»  
</t>
  </si>
  <si>
    <t>Выполнение наказов избирателей  (Межбюджетные трансферты)</t>
  </si>
  <si>
    <t>Мероприятия в области коммунальной инфраструктуры (Закупка товаров, работ и услуг для обеспечения государственных (муниципальных) нужд)</t>
  </si>
  <si>
    <t>16 2 02 26000</t>
  </si>
  <si>
    <t>03 1 01 S3500</t>
  </si>
  <si>
    <t>Реализация мероприятий по капитальному ремонту объектов образования (Закупка товаров, работ и услуг для государственных (муниципальных) нужд)</t>
  </si>
  <si>
    <t xml:space="preserve">Исполнение обязательств по исполнительным листам (Иные бюджетные ассигнования) </t>
  </si>
  <si>
    <t>40 9 00 27770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</si>
  <si>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</si>
  <si>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R3031</t>
  </si>
  <si>
    <t>03 1 Е2 50981</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</si>
  <si>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t>
  </si>
  <si>
    <t>Субсидия бюджетам поселений Приволжского муниципального района в целях софинансирования расходных обязательств, возникающих при выполнении полномочий органов местного самоуправления поселений по вопросам местного значения поселений (Межбюджетные трансферты)</t>
  </si>
  <si>
    <t>41 9 00 60500</t>
  </si>
  <si>
    <t>15 1 02 S6500</t>
  </si>
  <si>
    <t>03 1 E2 51710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</si>
  <si>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(Предоставление субсидий бюджетным, автономным учреждениям и иным некоммерческим организациям)</t>
  </si>
  <si>
    <t>15 1 02 S9100</t>
  </si>
  <si>
    <t>Строительство (реконструкция), капитальный ремонт и ремонт автомобильных дорог общего пользования местного значения (Закупка товаров, работ и услуг для обеспечения государственных (муниципальных) нужд)</t>
  </si>
  <si>
    <t>03 1 EВ 51792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</si>
  <si>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</si>
  <si>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S8900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</si>
  <si>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(Закупка товаров, работ и услуг для государственных (муниципальных) нужд)</t>
  </si>
  <si>
    <t>10 2 01 L5763</t>
  </si>
  <si>
    <t>Обеспечение комплексного развития сельских территорий (Реализация мероприятий по благоустройству сельских территорий) (Закупка товаров, работ и услуг для обеспечения государственных (муниципальных) нужд)</t>
  </si>
  <si>
    <t>08 1 03 28050</t>
  </si>
  <si>
    <t>Актуализация схемы водоснабжения и водоотведения Приволжского муниципального района (Закупка товаров, работ и услуг для обеспечения государственных (муниципальных) нужд)</t>
  </si>
  <si>
    <t>Государственная экспертиза по определению достоверности сметной стоимости работ (Закупка товаров, работ и услуг для обеспечения государственных (муниципальных) нужд)</t>
  </si>
  <si>
    <t>10 2 01 26610</t>
  </si>
  <si>
    <t>38 1 01 S3020</t>
  </si>
  <si>
    <t>Подготовка проектов внесения изменений в документы территориального планирования, правила землепользования и застройки (Закупка товаров, работ и услуг для обеспечения государственных (муниципальных) нужд)</t>
  </si>
  <si>
    <t>15 1 02 23010</t>
  </si>
  <si>
    <t>Прочие мероприятия в области дорожного хозяйства (Закупка товаров, работ и услуг для обеспечения государственных (муниципальных) нужд)</t>
  </si>
  <si>
    <t>03 1 01 S1950</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</si>
  <si>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</si>
  <si>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10 2 01 23000</t>
  </si>
  <si>
    <t>03 1 01 81010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</si>
  <si>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</si>
  <si>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06 3 01 25040</t>
  </si>
  <si>
    <t>15 1 02 23030</t>
  </si>
  <si>
    <t>15 1 02 23190</t>
  </si>
  <si>
    <t>Ремонт тротуаров (Закупка товаров, работ и услуг для обеспечения государственных (муниципальных) нужд)</t>
  </si>
  <si>
    <t>Разработка проектно-сметной документации по ремонту автомобильных дорог (Закупка товаров, работ и услуг для обеспечения государственных (муниципальных) нужд)</t>
  </si>
  <si>
    <t>Субсидия предприятиям Приволжского муниципального района на возмещение убытков от содержания объектов муниципальной собственности, не используемых в производственной деятельности, не приносящих доход (Иные бюджетные ассигнования)</t>
  </si>
  <si>
    <t>15 1 02 23120</t>
  </si>
  <si>
    <t>Ремонт автомобильных дорог (Закупка товаров, работ и услуг для обеспечения государственных (муниципальных) нужд)</t>
  </si>
  <si>
    <t>19 2 01 00410</t>
  </si>
  <si>
    <t>Код раздела, подраздела</t>
  </si>
  <si>
    <t>Код целевой статьи</t>
  </si>
  <si>
    <t>Код вида расходов</t>
  </si>
  <si>
    <t>40 9 00 55490</t>
  </si>
  <si>
    <t>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</si>
  <si>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(в редакции решения Совета от 28.09.2023 № 55)</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</si>
</sst>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sz val="11"/>
      <color rgb="FFFF0000"/>
      <name val="Calibri"/>
      <family val="2"/>
      <charset val="204"/>
      <scheme val="mino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2"/>
      <color indexed="8"/>
      <name val="Times New Roman"/>
      <family val="1"/>
      <charset val="204"/>
    </font>
    <font>
      <sz val="12"/>
      <color theme="1"/>
      <name val="Calibri"/>
      <family val="2"/>
      <charset val="204"/>
      <scheme val="minor"/>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62">
    <xf numFmtId="0" fontId="0" fillId="0" borderId="0" xfId="0"/>
    <xf numFmtId="0" fontId="0" fillId="0" borderId="0" xfId="0" applyBorder="1"/>
    <xf numFmtId="0" fontId="7" fillId="0" borderId="0" xfId="0" applyFont="1"/>
    <xf numFmtId="4" fontId="10" fillId="0" borderId="0" xfId="0" applyNumberFormat="1" applyFont="1"/>
    <xf numFmtId="4" fontId="9" fillId="0" borderId="0" xfId="0" applyNumberFormat="1" applyFont="1"/>
    <xf numFmtId="4" fontId="0" fillId="0" borderId="0" xfId="0" applyNumberFormat="1"/>
    <xf numFmtId="4" fontId="2" fillId="0" borderId="5" xfId="0" applyNumberFormat="1" applyFont="1" applyFill="1" applyBorder="1" applyAlignment="1">
      <alignment horizontal="right"/>
    </xf>
    <xf numFmtId="49" fontId="2" fillId="0" borderId="6" xfId="0" applyNumberFormat="1" applyFont="1" applyFill="1" applyBorder="1" applyAlignment="1">
      <alignment horizontal="right"/>
    </xf>
    <xf numFmtId="49" fontId="2" fillId="0" borderId="5" xfId="0" applyNumberFormat="1" applyFont="1" applyFill="1" applyBorder="1" applyAlignment="1">
      <alignment horizontal="right"/>
    </xf>
    <xf numFmtId="49" fontId="2" fillId="0" borderId="3" xfId="0" applyNumberFormat="1" applyFont="1" applyFill="1" applyBorder="1" applyAlignment="1">
      <alignment horizontal="right"/>
    </xf>
    <xf numFmtId="4" fontId="2" fillId="0" borderId="3" xfId="0" applyNumberFormat="1" applyFont="1" applyFill="1" applyBorder="1" applyAlignment="1">
      <alignment horizontal="right"/>
    </xf>
    <xf numFmtId="49" fontId="12" fillId="0" borderId="6" xfId="0" applyNumberFormat="1" applyFont="1" applyFill="1" applyBorder="1" applyAlignment="1">
      <alignment horizontal="right"/>
    </xf>
    <xf numFmtId="49" fontId="12" fillId="0" borderId="5" xfId="0" applyNumberFormat="1" applyFont="1" applyFill="1" applyBorder="1" applyAlignment="1">
      <alignment horizontal="right"/>
    </xf>
    <xf numFmtId="0" fontId="2" fillId="0" borderId="3" xfId="0" applyFont="1" applyFill="1" applyBorder="1" applyAlignment="1">
      <alignment horizontal="right"/>
    </xf>
    <xf numFmtId="0" fontId="2" fillId="0" borderId="5" xfId="0" applyFont="1" applyFill="1" applyBorder="1" applyAlignment="1">
      <alignment horizontal="right"/>
    </xf>
    <xf numFmtId="0" fontId="2" fillId="0" borderId="6" xfId="0" applyFont="1" applyFill="1" applyBorder="1" applyAlignment="1">
      <alignment horizontal="right"/>
    </xf>
    <xf numFmtId="4" fontId="2" fillId="0" borderId="6" xfId="0" applyNumberFormat="1" applyFont="1" applyFill="1" applyBorder="1" applyAlignment="1">
      <alignment horizontal="right"/>
    </xf>
    <xf numFmtId="0" fontId="2" fillId="0" borderId="0" xfId="0" applyFont="1" applyFill="1" applyAlignment="1">
      <alignment horizontal="right"/>
    </xf>
    <xf numFmtId="4" fontId="2" fillId="0" borderId="5" xfId="0" applyNumberFormat="1" applyFont="1" applyFill="1" applyBorder="1" applyAlignment="1">
      <alignment horizontal="right" wrapText="1"/>
    </xf>
    <xf numFmtId="49" fontId="2" fillId="0" borderId="5" xfId="0" applyNumberFormat="1" applyFont="1" applyFill="1" applyBorder="1" applyAlignment="1">
      <alignment horizontal="right" wrapText="1"/>
    </xf>
    <xf numFmtId="49" fontId="2" fillId="0" borderId="6" xfId="0" applyNumberFormat="1" applyFont="1" applyFill="1" applyBorder="1" applyAlignment="1">
      <alignment horizontal="right" wrapText="1"/>
    </xf>
    <xf numFmtId="4" fontId="2" fillId="0" borderId="6" xfId="0" applyNumberFormat="1" applyFont="1" applyFill="1" applyBorder="1" applyAlignment="1">
      <alignment horizontal="right" wrapText="1"/>
    </xf>
    <xf numFmtId="49" fontId="2" fillId="0" borderId="8" xfId="0" applyNumberFormat="1" applyFont="1" applyFill="1" applyBorder="1" applyAlignment="1">
      <alignment horizontal="right" wrapText="1"/>
    </xf>
    <xf numFmtId="0" fontId="2" fillId="0" borderId="6"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0" fontId="2" fillId="0" borderId="3" xfId="1" applyFont="1" applyFill="1" applyBorder="1" applyAlignment="1">
      <alignment horizontal="left" vertical="center" wrapText="1"/>
    </xf>
    <xf numFmtId="0" fontId="2" fillId="0" borderId="3"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5" xfId="0" applyFont="1" applyFill="1" applyBorder="1" applyAlignment="1">
      <alignment horizontal="left" vertical="top" wrapText="1"/>
    </xf>
    <xf numFmtId="49" fontId="2" fillId="0" borderId="8" xfId="0" applyNumberFormat="1" applyFont="1" applyFill="1" applyBorder="1" applyAlignment="1">
      <alignment horizontal="right"/>
    </xf>
    <xf numFmtId="4" fontId="2" fillId="0" borderId="8" xfId="0" applyNumberFormat="1" applyFont="1" applyFill="1" applyBorder="1" applyAlignment="1">
      <alignment horizontal="right" wrapText="1"/>
    </xf>
    <xf numFmtId="49" fontId="2" fillId="0" borderId="3" xfId="0" applyNumberFormat="1" applyFont="1" applyFill="1" applyBorder="1" applyAlignment="1">
      <alignment horizontal="right" wrapText="1"/>
    </xf>
    <xf numFmtId="4" fontId="2" fillId="0" borderId="3" xfId="0" applyNumberFormat="1" applyFont="1" applyFill="1" applyBorder="1" applyAlignment="1">
      <alignment horizontal="right" wrapText="1"/>
    </xf>
    <xf numFmtId="0" fontId="1" fillId="0" borderId="0" xfId="0" applyFont="1" applyFill="1" applyAlignment="1">
      <alignment horizontal="justify" vertical="top" wrapText="1"/>
    </xf>
    <xf numFmtId="0" fontId="1" fillId="0" borderId="0" xfId="0" applyFont="1" applyFill="1"/>
    <xf numFmtId="0" fontId="1" fillId="0" borderId="0" xfId="0" applyFont="1" applyFill="1" applyAlignment="1">
      <alignment horizontal="right"/>
    </xf>
    <xf numFmtId="0" fontId="2" fillId="0" borderId="0" xfId="0" applyFont="1" applyFill="1" applyAlignment="1">
      <alignment horizontal="right" vertical="top" wrapText="1"/>
    </xf>
    <xf numFmtId="0" fontId="2" fillId="0" borderId="0" xfId="0" applyFont="1" applyFill="1" applyAlignment="1">
      <alignment horizontal="right" vertical="top"/>
    </xf>
    <xf numFmtId="0" fontId="3" fillId="0" borderId="0" xfId="0" applyFont="1" applyFill="1" applyBorder="1" applyAlignment="1">
      <alignment horizontal="center" wrapText="1"/>
    </xf>
    <xf numFmtId="0" fontId="1" fillId="0" borderId="0" xfId="0" applyFont="1" applyFill="1" applyBorder="1" applyAlignment="1">
      <alignment wrapText="1"/>
    </xf>
    <xf numFmtId="0" fontId="2" fillId="0" borderId="0" xfId="0" applyFont="1" applyFill="1" applyBorder="1" applyAlignment="1">
      <alignment horizontal="center" wrapText="1"/>
    </xf>
    <xf numFmtId="0" fontId="13" fillId="0" borderId="0" xfId="0" applyFont="1" applyFill="1" applyAlignment="1">
      <alignment wrapText="1"/>
    </xf>
    <xf numFmtId="0" fontId="3" fillId="0" borderId="2"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11" fillId="0" borderId="2" xfId="0" applyFont="1" applyFill="1" applyBorder="1" applyAlignment="1">
      <alignment horizontal="right"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left" vertical="center" wrapText="1"/>
    </xf>
    <xf numFmtId="49" fontId="8" fillId="0" borderId="5" xfId="0" applyNumberFormat="1" applyFont="1" applyFill="1" applyBorder="1" applyAlignment="1">
      <alignment horizontal="right"/>
    </xf>
    <xf numFmtId="4" fontId="8" fillId="0" borderId="5" xfId="0" applyNumberFormat="1" applyFont="1" applyFill="1" applyBorder="1" applyAlignment="1">
      <alignment horizontal="right"/>
    </xf>
    <xf numFmtId="0" fontId="2" fillId="0" borderId="6" xfId="0" applyFont="1" applyFill="1" applyBorder="1" applyAlignment="1">
      <alignment horizontal="justify" vertical="top" wrapText="1"/>
    </xf>
    <xf numFmtId="4" fontId="12" fillId="0" borderId="6" xfId="0" applyNumberFormat="1" applyFont="1" applyFill="1" applyBorder="1" applyAlignment="1">
      <alignment horizontal="right"/>
    </xf>
    <xf numFmtId="49" fontId="8" fillId="0" borderId="5" xfId="0" applyNumberFormat="1" applyFont="1" applyFill="1" applyBorder="1" applyAlignment="1">
      <alignment horizontal="right" wrapText="1"/>
    </xf>
    <xf numFmtId="4" fontId="8" fillId="0" borderId="5" xfId="0" applyNumberFormat="1" applyFont="1" applyFill="1" applyBorder="1" applyAlignment="1">
      <alignment horizontal="right" wrapText="1"/>
    </xf>
    <xf numFmtId="0" fontId="8" fillId="0" borderId="5" xfId="0" applyFont="1" applyFill="1" applyBorder="1" applyAlignment="1">
      <alignment horizontal="justify" vertical="top" wrapText="1"/>
    </xf>
  </cellXfs>
  <cellStyles count="4">
    <cellStyle name="xl30" xfId="3"/>
    <cellStyle name="Обычный" xfId="0" builtinId="0"/>
    <cellStyle name="Обычный 2" xfId="1"/>
    <cellStyle name="Обычный 3" xfI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5"/>
  <sheetViews>
    <sheetView tabSelected="1" zoomScale="80" zoomScaleNormal="80" workbookViewId="0"/>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8.140625" customWidth="1"/>
    <col min="10" max="10" width="14.42578125" customWidth="1"/>
    <col min="11" max="11" width="16.5703125" customWidth="1"/>
  </cols>
  <sheetData>
    <row r="1" spans="1:14" ht="84.75" customHeight="1" x14ac:dyDescent="0.25">
      <c r="A1" s="39"/>
      <c r="B1" s="40"/>
      <c r="C1" s="40"/>
      <c r="D1" s="41"/>
      <c r="E1" s="40"/>
      <c r="F1" s="42" t="s">
        <v>272</v>
      </c>
      <c r="G1" s="43"/>
      <c r="H1" s="43"/>
    </row>
    <row r="2" spans="1:14" ht="36" customHeight="1" x14ac:dyDescent="0.3">
      <c r="A2" s="44" t="s">
        <v>249</v>
      </c>
      <c r="B2" s="45"/>
      <c r="C2" s="45"/>
      <c r="D2" s="45"/>
      <c r="E2" s="45"/>
      <c r="F2" s="45"/>
      <c r="G2" s="45"/>
      <c r="H2" s="45"/>
    </row>
    <row r="3" spans="1:14" ht="24" customHeight="1" x14ac:dyDescent="0.25">
      <c r="A3" s="46" t="s">
        <v>324</v>
      </c>
      <c r="B3" s="47"/>
      <c r="C3" s="47"/>
      <c r="D3" s="47"/>
      <c r="E3" s="47"/>
      <c r="F3" s="47"/>
      <c r="G3" s="47"/>
      <c r="H3" s="47"/>
    </row>
    <row r="4" spans="1:14" ht="19.5" x14ac:dyDescent="0.25">
      <c r="A4" s="48"/>
      <c r="B4" s="49"/>
      <c r="C4" s="49"/>
      <c r="D4" s="49"/>
      <c r="E4" s="49"/>
      <c r="F4" s="49"/>
      <c r="G4" s="50" t="s">
        <v>0</v>
      </c>
      <c r="H4" s="50"/>
      <c r="I4" s="1"/>
    </row>
    <row r="5" spans="1:14" ht="47.25" x14ac:dyDescent="0.25">
      <c r="A5" s="51" t="s">
        <v>1</v>
      </c>
      <c r="B5" s="51" t="s">
        <v>2</v>
      </c>
      <c r="C5" s="51" t="s">
        <v>319</v>
      </c>
      <c r="D5" s="51" t="s">
        <v>320</v>
      </c>
      <c r="E5" s="51" t="s">
        <v>321</v>
      </c>
      <c r="F5" s="52" t="s">
        <v>3</v>
      </c>
      <c r="G5" s="53" t="s">
        <v>212</v>
      </c>
      <c r="H5" s="53" t="s">
        <v>250</v>
      </c>
    </row>
    <row r="6" spans="1:14" ht="31.5" x14ac:dyDescent="0.25">
      <c r="A6" s="54" t="s">
        <v>4</v>
      </c>
      <c r="B6" s="55" t="s">
        <v>5</v>
      </c>
      <c r="C6" s="55"/>
      <c r="D6" s="55"/>
      <c r="E6" s="55"/>
      <c r="F6" s="56">
        <f>SUM(F7:F76)</f>
        <v>403560777.85000002</v>
      </c>
      <c r="G6" s="56">
        <f>SUM(G7:G76)</f>
        <v>299288203.50999987</v>
      </c>
      <c r="H6" s="56">
        <f>SUM(H7:H76)</f>
        <v>296114114.54999995</v>
      </c>
      <c r="L6" s="5"/>
      <c r="M6" s="5"/>
      <c r="N6" s="5"/>
    </row>
    <row r="7" spans="1:14" ht="63" x14ac:dyDescent="0.25">
      <c r="A7" s="23" t="s">
        <v>220</v>
      </c>
      <c r="B7" s="7" t="s">
        <v>5</v>
      </c>
      <c r="C7" s="7" t="s">
        <v>7</v>
      </c>
      <c r="D7" s="7" t="s">
        <v>221</v>
      </c>
      <c r="E7" s="7" t="s">
        <v>9</v>
      </c>
      <c r="F7" s="6">
        <f>1173696+104364+354456.12-2520-761.04</f>
        <v>1629235.08</v>
      </c>
      <c r="G7" s="6">
        <f>1173696+99700+354456.12</f>
        <v>1627852.12</v>
      </c>
      <c r="H7" s="6">
        <f>1173696+99700+354456.12</f>
        <v>1627852.12</v>
      </c>
    </row>
    <row r="8" spans="1:14" ht="31.5" x14ac:dyDescent="0.25">
      <c r="A8" s="23" t="s">
        <v>222</v>
      </c>
      <c r="B8" s="7" t="s">
        <v>5</v>
      </c>
      <c r="C8" s="7" t="s">
        <v>7</v>
      </c>
      <c r="D8" s="7" t="s">
        <v>221</v>
      </c>
      <c r="E8" s="7" t="s">
        <v>11</v>
      </c>
      <c r="F8" s="6">
        <f>14396883.88+130000+1231411.18+70388+75000-568065</f>
        <v>15335618.060000001</v>
      </c>
      <c r="G8" s="6">
        <f>14401547.88+130000</f>
        <v>14531547.880000001</v>
      </c>
      <c r="H8" s="6">
        <f>14401547.88+130000</f>
        <v>14531547.880000001</v>
      </c>
    </row>
    <row r="9" spans="1:14" ht="31.5" x14ac:dyDescent="0.25">
      <c r="A9" s="23" t="s">
        <v>223</v>
      </c>
      <c r="B9" s="7" t="s">
        <v>5</v>
      </c>
      <c r="C9" s="7" t="s">
        <v>7</v>
      </c>
      <c r="D9" s="7" t="s">
        <v>221</v>
      </c>
      <c r="E9" s="7" t="s">
        <v>13</v>
      </c>
      <c r="F9" s="6">
        <v>136400</v>
      </c>
      <c r="G9" s="6">
        <v>136400</v>
      </c>
      <c r="H9" s="6">
        <v>136400</v>
      </c>
    </row>
    <row r="10" spans="1:14" ht="78.75" x14ac:dyDescent="0.25">
      <c r="A10" s="23" t="s">
        <v>6</v>
      </c>
      <c r="B10" s="7" t="s">
        <v>5</v>
      </c>
      <c r="C10" s="7" t="s">
        <v>7</v>
      </c>
      <c r="D10" s="7" t="s">
        <v>8</v>
      </c>
      <c r="E10" s="7" t="s">
        <v>9</v>
      </c>
      <c r="F10" s="6">
        <f>29121335.57+114912+8529046.73-289800-87519.6+60448.33+18254.92-799286.8-21582.37</f>
        <v>36645808.780000001</v>
      </c>
      <c r="G10" s="6">
        <f>26500702.8+116312+7995894.23</f>
        <v>34612909.030000001</v>
      </c>
      <c r="H10" s="6">
        <f>26500702.8+116212+7995894.23</f>
        <v>34612809.030000001</v>
      </c>
    </row>
    <row r="11" spans="1:14" ht="47.25" x14ac:dyDescent="0.25">
      <c r="A11" s="23" t="s">
        <v>10</v>
      </c>
      <c r="B11" s="7" t="s">
        <v>5</v>
      </c>
      <c r="C11" s="7" t="s">
        <v>7</v>
      </c>
      <c r="D11" s="7" t="s">
        <v>8</v>
      </c>
      <c r="E11" s="7" t="s">
        <v>11</v>
      </c>
      <c r="F11" s="6">
        <f>24472202.42+27623845.99-7783607.51-30000000-790000-350443.52+16745052.96+103684.64+9216515.36+500000+9600+64200+602189+150000-602189-29389.95-6160.81-150526.32+553232.32+5601654.23+167186+145000-14385.85+183617+540000+47694.32+277650.59+45000-139497.42+200000+182975.68-14055.22</f>
        <v>47551044.910000004</v>
      </c>
      <c r="G11" s="6">
        <f>20202077.95+29011538.29-8172787.89-30000000-700000-5520.84+705520.84</f>
        <v>11040828.349999994</v>
      </c>
      <c r="H11" s="6">
        <f>20424899.28+30468615.2-8581427.28-30000000-700000-120780.22</f>
        <v>11491306.980000002</v>
      </c>
    </row>
    <row r="12" spans="1:14" ht="31.5" x14ac:dyDescent="0.25">
      <c r="A12" s="23" t="s">
        <v>12</v>
      </c>
      <c r="B12" s="7" t="s">
        <v>5</v>
      </c>
      <c r="C12" s="7" t="s">
        <v>7</v>
      </c>
      <c r="D12" s="7" t="s">
        <v>8</v>
      </c>
      <c r="E12" s="7" t="s">
        <v>13</v>
      </c>
      <c r="F12" s="16">
        <f>328117+13000+149216.21-28000</f>
        <v>462333.20999999996</v>
      </c>
      <c r="G12" s="16">
        <f>328617+13000</f>
        <v>341617</v>
      </c>
      <c r="H12" s="16">
        <f>328617+13000</f>
        <v>341617</v>
      </c>
    </row>
    <row r="13" spans="1:14" ht="141.75" x14ac:dyDescent="0.25">
      <c r="A13" s="23" t="s">
        <v>197</v>
      </c>
      <c r="B13" s="7" t="s">
        <v>5</v>
      </c>
      <c r="C13" s="7" t="s">
        <v>7</v>
      </c>
      <c r="D13" s="7" t="s">
        <v>14</v>
      </c>
      <c r="E13" s="7" t="s">
        <v>9</v>
      </c>
      <c r="F13" s="16">
        <f>47947218.13+14480059.87</f>
        <v>62427278</v>
      </c>
      <c r="G13" s="16">
        <f>48560018.43+14665125.57</f>
        <v>63225144</v>
      </c>
      <c r="H13" s="16">
        <f>48560018.43+14665125.57</f>
        <v>63225144</v>
      </c>
    </row>
    <row r="14" spans="1:14" ht="110.25" x14ac:dyDescent="0.25">
      <c r="A14" s="23" t="s">
        <v>198</v>
      </c>
      <c r="B14" s="7" t="s">
        <v>5</v>
      </c>
      <c r="C14" s="7" t="s">
        <v>7</v>
      </c>
      <c r="D14" s="7" t="s">
        <v>14</v>
      </c>
      <c r="E14" s="7" t="s">
        <v>11</v>
      </c>
      <c r="F14" s="16">
        <v>358680</v>
      </c>
      <c r="G14" s="16">
        <v>161700</v>
      </c>
      <c r="H14" s="16">
        <v>161700</v>
      </c>
    </row>
    <row r="15" spans="1:14" ht="47.25" x14ac:dyDescent="0.25">
      <c r="A15" s="23" t="s">
        <v>306</v>
      </c>
      <c r="B15" s="7" t="s">
        <v>5</v>
      </c>
      <c r="C15" s="7" t="s">
        <v>7</v>
      </c>
      <c r="D15" s="7" t="s">
        <v>305</v>
      </c>
      <c r="E15" s="7" t="s">
        <v>11</v>
      </c>
      <c r="F15" s="16">
        <f>2860000+150526.32</f>
        <v>3010526.32</v>
      </c>
      <c r="G15" s="16">
        <v>0</v>
      </c>
      <c r="H15" s="16">
        <v>0</v>
      </c>
    </row>
    <row r="16" spans="1:14" ht="31.5" x14ac:dyDescent="0.25">
      <c r="A16" s="23" t="s">
        <v>277</v>
      </c>
      <c r="B16" s="7" t="s">
        <v>5</v>
      </c>
      <c r="C16" s="7" t="s">
        <v>7</v>
      </c>
      <c r="D16" s="7" t="s">
        <v>276</v>
      </c>
      <c r="E16" s="7" t="s">
        <v>11</v>
      </c>
      <c r="F16" s="16">
        <f>11135294+586068.1</f>
        <v>11721362.1</v>
      </c>
      <c r="G16" s="16">
        <v>0</v>
      </c>
      <c r="H16" s="16">
        <v>0</v>
      </c>
    </row>
    <row r="17" spans="1:8" ht="78.75" x14ac:dyDescent="0.25">
      <c r="A17" s="23" t="s">
        <v>294</v>
      </c>
      <c r="B17" s="7" t="s">
        <v>5</v>
      </c>
      <c r="C17" s="7" t="s">
        <v>7</v>
      </c>
      <c r="D17" s="7" t="s">
        <v>293</v>
      </c>
      <c r="E17" s="7" t="s">
        <v>11</v>
      </c>
      <c r="F17" s="16">
        <f>12000000+602189+29389.95</f>
        <v>12631578.949999999</v>
      </c>
      <c r="G17" s="16">
        <v>0</v>
      </c>
      <c r="H17" s="16">
        <v>0</v>
      </c>
    </row>
    <row r="18" spans="1:8" ht="141.75" x14ac:dyDescent="0.25">
      <c r="A18" s="23" t="s">
        <v>15</v>
      </c>
      <c r="B18" s="7" t="s">
        <v>5</v>
      </c>
      <c r="C18" s="7" t="s">
        <v>7</v>
      </c>
      <c r="D18" s="7" t="s">
        <v>16</v>
      </c>
      <c r="E18" s="7" t="s">
        <v>9</v>
      </c>
      <c r="F18" s="16">
        <f>140000+42280</f>
        <v>182280</v>
      </c>
      <c r="G18" s="16">
        <f t="shared" ref="G18:H18" si="0">140000+42280</f>
        <v>182280</v>
      </c>
      <c r="H18" s="16">
        <f t="shared" si="0"/>
        <v>182280</v>
      </c>
    </row>
    <row r="19" spans="1:8" ht="126" x14ac:dyDescent="0.25">
      <c r="A19" s="23" t="s">
        <v>17</v>
      </c>
      <c r="B19" s="7" t="s">
        <v>5</v>
      </c>
      <c r="C19" s="7" t="s">
        <v>7</v>
      </c>
      <c r="D19" s="7" t="s">
        <v>16</v>
      </c>
      <c r="E19" s="7" t="s">
        <v>11</v>
      </c>
      <c r="F19" s="16">
        <v>390269</v>
      </c>
      <c r="G19" s="16">
        <v>390269</v>
      </c>
      <c r="H19" s="16">
        <v>390269</v>
      </c>
    </row>
    <row r="20" spans="1:8" ht="47.25" x14ac:dyDescent="0.25">
      <c r="A20" s="25" t="s">
        <v>18</v>
      </c>
      <c r="B20" s="8" t="s">
        <v>5</v>
      </c>
      <c r="C20" s="8" t="s">
        <v>7</v>
      </c>
      <c r="D20" s="8" t="s">
        <v>19</v>
      </c>
      <c r="E20" s="8" t="s">
        <v>11</v>
      </c>
      <c r="F20" s="6">
        <f>4050782-4050782+1322562-2254.32</f>
        <v>1320307.68</v>
      </c>
      <c r="G20" s="6">
        <f>1409841-1409841+1409841</f>
        <v>1409841</v>
      </c>
      <c r="H20" s="6">
        <f>1409841-1409841+1409841</f>
        <v>1409841</v>
      </c>
    </row>
    <row r="21" spans="1:8" ht="31.5" x14ac:dyDescent="0.25">
      <c r="A21" s="26" t="s">
        <v>20</v>
      </c>
      <c r="B21" s="8" t="s">
        <v>5</v>
      </c>
      <c r="C21" s="8" t="s">
        <v>7</v>
      </c>
      <c r="D21" s="8" t="s">
        <v>21</v>
      </c>
      <c r="E21" s="8" t="s">
        <v>11</v>
      </c>
      <c r="F21" s="6">
        <f>20955979-20955979+536000+288932.71+219686.4+499996+235460.7</f>
        <v>1780075.8099999998</v>
      </c>
      <c r="G21" s="6">
        <f>2636000-2636000</f>
        <v>0</v>
      </c>
      <c r="H21" s="6">
        <f>2370000-2370000</f>
        <v>0</v>
      </c>
    </row>
    <row r="22" spans="1:8" ht="31.5" x14ac:dyDescent="0.25">
      <c r="A22" s="26" t="s">
        <v>22</v>
      </c>
      <c r="B22" s="8" t="s">
        <v>5</v>
      </c>
      <c r="C22" s="8" t="s">
        <v>7</v>
      </c>
      <c r="D22" s="8" t="s">
        <v>23</v>
      </c>
      <c r="E22" s="8" t="s">
        <v>11</v>
      </c>
      <c r="F22" s="6">
        <v>0</v>
      </c>
      <c r="G22" s="6">
        <v>120000</v>
      </c>
      <c r="H22" s="6">
        <v>120000</v>
      </c>
    </row>
    <row r="23" spans="1:8" ht="31.5" x14ac:dyDescent="0.25">
      <c r="A23" s="26" t="s">
        <v>24</v>
      </c>
      <c r="B23" s="8" t="s">
        <v>5</v>
      </c>
      <c r="C23" s="8" t="s">
        <v>7</v>
      </c>
      <c r="D23" s="8" t="s">
        <v>25</v>
      </c>
      <c r="E23" s="8" t="s">
        <v>11</v>
      </c>
      <c r="F23" s="6">
        <f>1400656-800000+539400-17440</f>
        <v>1122616</v>
      </c>
      <c r="G23" s="6">
        <f>1194124-800000</f>
        <v>394124</v>
      </c>
      <c r="H23" s="6">
        <f>1194124-800000</f>
        <v>394124</v>
      </c>
    </row>
    <row r="24" spans="1:8" ht="31.5" x14ac:dyDescent="0.25">
      <c r="A24" s="24" t="s">
        <v>171</v>
      </c>
      <c r="B24" s="8" t="s">
        <v>5</v>
      </c>
      <c r="C24" s="8" t="s">
        <v>7</v>
      </c>
      <c r="D24" s="8" t="s">
        <v>172</v>
      </c>
      <c r="E24" s="8" t="s">
        <v>11</v>
      </c>
      <c r="F24" s="6">
        <v>500000</v>
      </c>
      <c r="G24" s="6">
        <f>1500000-1500000</f>
        <v>0</v>
      </c>
      <c r="H24" s="6">
        <f>1500000-1500000</f>
        <v>0</v>
      </c>
    </row>
    <row r="25" spans="1:8" ht="63" x14ac:dyDescent="0.25">
      <c r="A25" s="23" t="s">
        <v>220</v>
      </c>
      <c r="B25" s="7" t="s">
        <v>5</v>
      </c>
      <c r="C25" s="7" t="s">
        <v>26</v>
      </c>
      <c r="D25" s="7" t="s">
        <v>224</v>
      </c>
      <c r="E25" s="7" t="s">
        <v>9</v>
      </c>
      <c r="F25" s="16">
        <f>58380+17630+3353.38+1073.12</f>
        <v>80436.5</v>
      </c>
      <c r="G25" s="16">
        <f t="shared" ref="G25:H25" si="1">58380+17630</f>
        <v>76010</v>
      </c>
      <c r="H25" s="16">
        <f t="shared" si="1"/>
        <v>76010</v>
      </c>
    </row>
    <row r="26" spans="1:8" ht="31.5" x14ac:dyDescent="0.25">
      <c r="A26" s="23" t="s">
        <v>222</v>
      </c>
      <c r="B26" s="7" t="s">
        <v>5</v>
      </c>
      <c r="C26" s="7" t="s">
        <v>26</v>
      </c>
      <c r="D26" s="7" t="s">
        <v>224</v>
      </c>
      <c r="E26" s="7" t="s">
        <v>11</v>
      </c>
      <c r="F26" s="6">
        <f>1574090+89391.43+13020.13+447499.12</f>
        <v>2124000.6799999997</v>
      </c>
      <c r="G26" s="6">
        <v>1574090</v>
      </c>
      <c r="H26" s="6">
        <v>1574090</v>
      </c>
    </row>
    <row r="27" spans="1:8" ht="78.75" x14ac:dyDescent="0.25">
      <c r="A27" s="26" t="s">
        <v>27</v>
      </c>
      <c r="B27" s="8" t="s">
        <v>5</v>
      </c>
      <c r="C27" s="8" t="s">
        <v>26</v>
      </c>
      <c r="D27" s="8" t="s">
        <v>28</v>
      </c>
      <c r="E27" s="8" t="s">
        <v>9</v>
      </c>
      <c r="F27" s="6">
        <f>9252280.7+94432+2794188.77-25200+7408.53+2237.38</f>
        <v>12125347.379999999</v>
      </c>
      <c r="G27" s="6">
        <f>8757725.2+104156+2644832.81</f>
        <v>11506714.01</v>
      </c>
      <c r="H27" s="6">
        <f>8757725.2+104156+2644832.81</f>
        <v>11506714.01</v>
      </c>
    </row>
    <row r="28" spans="1:8" ht="47.25" x14ac:dyDescent="0.25">
      <c r="A28" s="26" t="s">
        <v>29</v>
      </c>
      <c r="B28" s="8" t="s">
        <v>5</v>
      </c>
      <c r="C28" s="8" t="s">
        <v>26</v>
      </c>
      <c r="D28" s="8" t="s">
        <v>28</v>
      </c>
      <c r="E28" s="8" t="s">
        <v>11</v>
      </c>
      <c r="F28" s="6">
        <f>12109112.46+27136050.8-8305198-20000000-1960567.71+1275104.13+17168617.78+2911447.6+608484.51+100000+2901114.87-1149912.04-499996-84522+337588+31410+175218.83-233273.91</f>
        <v>32520679.320000004</v>
      </c>
      <c r="G28" s="6">
        <f>11415225.48+28482379.2-8720457.9-20000000-2141580.89+1083864.13+246361.96</f>
        <v>10365791.98</v>
      </c>
      <c r="H28" s="6">
        <f>11567887.61+29902602.27-9156480.8-20000000-5794503.64+783864.13-21275.93</f>
        <v>7282093.639999995</v>
      </c>
    </row>
    <row r="29" spans="1:8" ht="33.75" customHeight="1" x14ac:dyDescent="0.25">
      <c r="A29" s="26" t="s">
        <v>30</v>
      </c>
      <c r="B29" s="8" t="s">
        <v>5</v>
      </c>
      <c r="C29" s="8" t="s">
        <v>26</v>
      </c>
      <c r="D29" s="8" t="s">
        <v>28</v>
      </c>
      <c r="E29" s="8" t="s">
        <v>13</v>
      </c>
      <c r="F29" s="6">
        <f>701638.82+5000+369256</f>
        <v>1075894.8199999998</v>
      </c>
      <c r="G29" s="6">
        <f>698438.82+5000</f>
        <v>703438.82</v>
      </c>
      <c r="H29" s="6">
        <f>698438.82+5000</f>
        <v>703438.82</v>
      </c>
    </row>
    <row r="30" spans="1:8" ht="186" customHeight="1" x14ac:dyDescent="0.25">
      <c r="A30" s="23" t="s">
        <v>271</v>
      </c>
      <c r="B30" s="8" t="s">
        <v>5</v>
      </c>
      <c r="C30" s="8" t="s">
        <v>26</v>
      </c>
      <c r="D30" s="8" t="s">
        <v>31</v>
      </c>
      <c r="E30" s="8" t="s">
        <v>9</v>
      </c>
      <c r="F30" s="6">
        <f>5640000+1703280-7343280</f>
        <v>0</v>
      </c>
      <c r="G30" s="6">
        <f>7343280-7343280</f>
        <v>0</v>
      </c>
      <c r="H30" s="6">
        <f>7343280-7343280</f>
        <v>0</v>
      </c>
    </row>
    <row r="31" spans="1:8" ht="211.5" customHeight="1" x14ac:dyDescent="0.25">
      <c r="A31" s="23" t="s">
        <v>280</v>
      </c>
      <c r="B31" s="8" t="s">
        <v>5</v>
      </c>
      <c r="C31" s="8" t="s">
        <v>26</v>
      </c>
      <c r="D31" s="8" t="s">
        <v>281</v>
      </c>
      <c r="E31" s="8" t="s">
        <v>9</v>
      </c>
      <c r="F31" s="6">
        <f>5640000+1703280</f>
        <v>7343280</v>
      </c>
      <c r="G31" s="6">
        <v>7343280</v>
      </c>
      <c r="H31" s="6">
        <v>7343280</v>
      </c>
    </row>
    <row r="32" spans="1:8" ht="173.25" x14ac:dyDescent="0.25">
      <c r="A32" s="24" t="s">
        <v>203</v>
      </c>
      <c r="B32" s="8" t="s">
        <v>5</v>
      </c>
      <c r="C32" s="8" t="s">
        <v>26</v>
      </c>
      <c r="D32" s="8" t="s">
        <v>32</v>
      </c>
      <c r="E32" s="8" t="s">
        <v>9</v>
      </c>
      <c r="F32" s="6">
        <f>57577406.11+17388376.64</f>
        <v>74965782.75</v>
      </c>
      <c r="G32" s="6">
        <f>57847613.67+17469979.33</f>
        <v>75317593</v>
      </c>
      <c r="H32" s="6">
        <f>57847613.67+17469979.33</f>
        <v>75317593</v>
      </c>
    </row>
    <row r="33" spans="1:8" ht="141.75" x14ac:dyDescent="0.25">
      <c r="A33" s="24" t="s">
        <v>204</v>
      </c>
      <c r="B33" s="8" t="s">
        <v>5</v>
      </c>
      <c r="C33" s="8" t="s">
        <v>26</v>
      </c>
      <c r="D33" s="8" t="s">
        <v>32</v>
      </c>
      <c r="E33" s="8" t="s">
        <v>11</v>
      </c>
      <c r="F33" s="6">
        <v>2118866</v>
      </c>
      <c r="G33" s="6">
        <v>2598687</v>
      </c>
      <c r="H33" s="6">
        <v>2598687</v>
      </c>
    </row>
    <row r="34" spans="1:8" ht="141.75" x14ac:dyDescent="0.25">
      <c r="A34" s="24" t="s">
        <v>33</v>
      </c>
      <c r="B34" s="9" t="s">
        <v>5</v>
      </c>
      <c r="C34" s="9" t="s">
        <v>26</v>
      </c>
      <c r="D34" s="9" t="s">
        <v>34</v>
      </c>
      <c r="E34" s="9" t="s">
        <v>35</v>
      </c>
      <c r="F34" s="10">
        <v>1562963.5</v>
      </c>
      <c r="G34" s="10">
        <v>1579231</v>
      </c>
      <c r="H34" s="10">
        <v>1579231</v>
      </c>
    </row>
    <row r="35" spans="1:8" ht="267.75" x14ac:dyDescent="0.25">
      <c r="A35" s="23" t="s">
        <v>270</v>
      </c>
      <c r="B35" s="9" t="s">
        <v>5</v>
      </c>
      <c r="C35" s="9" t="s">
        <v>26</v>
      </c>
      <c r="D35" s="9" t="s">
        <v>268</v>
      </c>
      <c r="E35" s="9" t="s">
        <v>11</v>
      </c>
      <c r="F35" s="10">
        <f>1570440.96-988796.16</f>
        <v>581644.79999999993</v>
      </c>
      <c r="G35" s="10">
        <v>1633452.48</v>
      </c>
      <c r="H35" s="10">
        <v>1698667.2</v>
      </c>
    </row>
    <row r="36" spans="1:8" ht="94.5" x14ac:dyDescent="0.25">
      <c r="A36" s="23" t="s">
        <v>205</v>
      </c>
      <c r="B36" s="9" t="s">
        <v>5</v>
      </c>
      <c r="C36" s="9" t="s">
        <v>26</v>
      </c>
      <c r="D36" s="9" t="s">
        <v>36</v>
      </c>
      <c r="E36" s="9" t="s">
        <v>11</v>
      </c>
      <c r="F36" s="10">
        <f>10707725.28+805957.82+42418.83</f>
        <v>11556101.93</v>
      </c>
      <c r="G36" s="10">
        <f>10707725.28+805957.82+42418.83</f>
        <v>11556101.93</v>
      </c>
      <c r="H36" s="10">
        <f>10776484.26+1065806.14+56095.06</f>
        <v>11898385.460000001</v>
      </c>
    </row>
    <row r="37" spans="1:8" ht="94.5" x14ac:dyDescent="0.25">
      <c r="A37" s="57" t="s">
        <v>259</v>
      </c>
      <c r="B37" s="8" t="s">
        <v>5</v>
      </c>
      <c r="C37" s="8" t="s">
        <v>26</v>
      </c>
      <c r="D37" s="8" t="s">
        <v>258</v>
      </c>
      <c r="E37" s="8" t="s">
        <v>11</v>
      </c>
      <c r="F37" s="6">
        <v>42891</v>
      </c>
      <c r="G37" s="6">
        <v>42891</v>
      </c>
      <c r="H37" s="6">
        <v>42891</v>
      </c>
    </row>
    <row r="38" spans="1:8" ht="47.25" x14ac:dyDescent="0.25">
      <c r="A38" s="25" t="s">
        <v>18</v>
      </c>
      <c r="B38" s="8" t="s">
        <v>5</v>
      </c>
      <c r="C38" s="8" t="s">
        <v>26</v>
      </c>
      <c r="D38" s="8" t="s">
        <v>19</v>
      </c>
      <c r="E38" s="8" t="s">
        <v>11</v>
      </c>
      <c r="F38" s="6">
        <f>10259398-10259398+5259398-4128511</f>
        <v>1130887</v>
      </c>
      <c r="G38" s="6">
        <f>4913735-4913735+2913735</f>
        <v>2913735</v>
      </c>
      <c r="H38" s="6">
        <f>4913735-4913735+2913735-800000</f>
        <v>2113735</v>
      </c>
    </row>
    <row r="39" spans="1:8" ht="31.5" x14ac:dyDescent="0.25">
      <c r="A39" s="27" t="s">
        <v>20</v>
      </c>
      <c r="B39" s="9" t="s">
        <v>5</v>
      </c>
      <c r="C39" s="9" t="s">
        <v>26</v>
      </c>
      <c r="D39" s="9" t="s">
        <v>21</v>
      </c>
      <c r="E39" s="9" t="s">
        <v>11</v>
      </c>
      <c r="F39" s="10">
        <f>4606290.6-4606290.6+33392+272268.8+1004791.08+763039.64</f>
        <v>2073491.52</v>
      </c>
      <c r="G39" s="10">
        <f>9025000-9025000</f>
        <v>0</v>
      </c>
      <c r="H39" s="10">
        <f>15160000-15160000</f>
        <v>0</v>
      </c>
    </row>
    <row r="40" spans="1:8" ht="63" x14ac:dyDescent="0.25">
      <c r="A40" s="27" t="s">
        <v>196</v>
      </c>
      <c r="B40" s="9" t="s">
        <v>5</v>
      </c>
      <c r="C40" s="9" t="s">
        <v>26</v>
      </c>
      <c r="D40" s="9" t="s">
        <v>195</v>
      </c>
      <c r="E40" s="9" t="s">
        <v>11</v>
      </c>
      <c r="F40" s="10">
        <f>2477890+25029.2+252.82-2503172.02</f>
        <v>0</v>
      </c>
      <c r="G40" s="10">
        <v>0</v>
      </c>
      <c r="H40" s="10">
        <v>0</v>
      </c>
    </row>
    <row r="41" spans="1:8" ht="103.5" customHeight="1" x14ac:dyDescent="0.25">
      <c r="A41" s="27" t="s">
        <v>283</v>
      </c>
      <c r="B41" s="9" t="s">
        <v>5</v>
      </c>
      <c r="C41" s="9" t="s">
        <v>26</v>
      </c>
      <c r="D41" s="9" t="s">
        <v>282</v>
      </c>
      <c r="E41" s="9" t="s">
        <v>11</v>
      </c>
      <c r="F41" s="10">
        <f>2477890+25029.2+252.82</f>
        <v>2503172.02</v>
      </c>
      <c r="G41" s="10">
        <v>0</v>
      </c>
      <c r="H41" s="10">
        <v>0</v>
      </c>
    </row>
    <row r="42" spans="1:8" ht="147.75" customHeight="1" x14ac:dyDescent="0.25">
      <c r="A42" s="27" t="s">
        <v>292</v>
      </c>
      <c r="B42" s="9" t="s">
        <v>5</v>
      </c>
      <c r="C42" s="9" t="s">
        <v>26</v>
      </c>
      <c r="D42" s="9" t="s">
        <v>291</v>
      </c>
      <c r="E42" s="9" t="s">
        <v>9</v>
      </c>
      <c r="F42" s="10">
        <v>213533.43</v>
      </c>
      <c r="G42" s="10">
        <v>1262982</v>
      </c>
      <c r="H42" s="10">
        <v>1262982</v>
      </c>
    </row>
    <row r="43" spans="1:8" ht="63" x14ac:dyDescent="0.25">
      <c r="A43" s="27" t="s">
        <v>37</v>
      </c>
      <c r="B43" s="9" t="s">
        <v>5</v>
      </c>
      <c r="C43" s="9" t="s">
        <v>26</v>
      </c>
      <c r="D43" s="9" t="s">
        <v>38</v>
      </c>
      <c r="E43" s="9" t="s">
        <v>9</v>
      </c>
      <c r="F43" s="10">
        <f>65000+19630</f>
        <v>84630</v>
      </c>
      <c r="G43" s="10">
        <v>0</v>
      </c>
      <c r="H43" s="10">
        <v>0</v>
      </c>
    </row>
    <row r="44" spans="1:8" ht="31.5" x14ac:dyDescent="0.25">
      <c r="A44" s="25" t="s">
        <v>22</v>
      </c>
      <c r="B44" s="8" t="s">
        <v>5</v>
      </c>
      <c r="C44" s="8" t="s">
        <v>237</v>
      </c>
      <c r="D44" s="8" t="s">
        <v>23</v>
      </c>
      <c r="E44" s="8" t="s">
        <v>11</v>
      </c>
      <c r="F44" s="6">
        <f>22422.32+285000</f>
        <v>307422.32</v>
      </c>
      <c r="G44" s="6">
        <v>0</v>
      </c>
      <c r="H44" s="6">
        <v>0</v>
      </c>
    </row>
    <row r="45" spans="1:8" ht="47.25" x14ac:dyDescent="0.25">
      <c r="A45" s="28" t="s">
        <v>39</v>
      </c>
      <c r="B45" s="9" t="s">
        <v>5</v>
      </c>
      <c r="C45" s="9" t="s">
        <v>26</v>
      </c>
      <c r="D45" s="9" t="s">
        <v>40</v>
      </c>
      <c r="E45" s="9" t="s">
        <v>11</v>
      </c>
      <c r="F45" s="10">
        <v>45700</v>
      </c>
      <c r="G45" s="10">
        <v>45700</v>
      </c>
      <c r="H45" s="10">
        <v>45700</v>
      </c>
    </row>
    <row r="46" spans="1:8" ht="31.5" x14ac:dyDescent="0.25">
      <c r="A46" s="28" t="s">
        <v>24</v>
      </c>
      <c r="B46" s="9" t="s">
        <v>5</v>
      </c>
      <c r="C46" s="9" t="s">
        <v>26</v>
      </c>
      <c r="D46" s="9" t="s">
        <v>25</v>
      </c>
      <c r="E46" s="9" t="s">
        <v>11</v>
      </c>
      <c r="F46" s="10">
        <f>1125960-500000+166500-6210</f>
        <v>786250</v>
      </c>
      <c r="G46" s="10">
        <f>1049660-500000</f>
        <v>549660</v>
      </c>
      <c r="H46" s="10">
        <f>1049660-500000</f>
        <v>549660</v>
      </c>
    </row>
    <row r="47" spans="1:8" ht="31.5" x14ac:dyDescent="0.25">
      <c r="A47" s="24" t="s">
        <v>171</v>
      </c>
      <c r="B47" s="8" t="s">
        <v>5</v>
      </c>
      <c r="C47" s="8" t="s">
        <v>26</v>
      </c>
      <c r="D47" s="8" t="s">
        <v>172</v>
      </c>
      <c r="E47" s="8" t="s">
        <v>11</v>
      </c>
      <c r="F47" s="6">
        <v>255000</v>
      </c>
      <c r="G47" s="6">
        <f>1500000-1500000</f>
        <v>0</v>
      </c>
      <c r="H47" s="6">
        <f>1500000-1500000</f>
        <v>0</v>
      </c>
    </row>
    <row r="48" spans="1:8" ht="58.5" customHeight="1" x14ac:dyDescent="0.25">
      <c r="A48" s="27" t="s">
        <v>245</v>
      </c>
      <c r="B48" s="9" t="s">
        <v>5</v>
      </c>
      <c r="C48" s="9" t="s">
        <v>41</v>
      </c>
      <c r="D48" s="9" t="s">
        <v>244</v>
      </c>
      <c r="E48" s="9" t="s">
        <v>35</v>
      </c>
      <c r="F48" s="10">
        <f>259650+4038079.2+267840</f>
        <v>4565569.2</v>
      </c>
      <c r="G48" s="10">
        <v>4297729.2</v>
      </c>
      <c r="H48" s="10">
        <v>0</v>
      </c>
    </row>
    <row r="49" spans="1:8" ht="47.25" x14ac:dyDescent="0.25">
      <c r="A49" s="27" t="s">
        <v>246</v>
      </c>
      <c r="B49" s="9" t="s">
        <v>5</v>
      </c>
      <c r="C49" s="9" t="s">
        <v>41</v>
      </c>
      <c r="D49" s="9" t="s">
        <v>244</v>
      </c>
      <c r="E49" s="9" t="s">
        <v>13</v>
      </c>
      <c r="F49" s="10">
        <f>98090+274640.8-267840</f>
        <v>104890.79999999999</v>
      </c>
      <c r="G49" s="10">
        <v>0</v>
      </c>
      <c r="H49" s="10">
        <v>0</v>
      </c>
    </row>
    <row r="50" spans="1:8" ht="47.25" x14ac:dyDescent="0.25">
      <c r="A50" s="28" t="s">
        <v>173</v>
      </c>
      <c r="B50" s="9" t="s">
        <v>5</v>
      </c>
      <c r="C50" s="9" t="s">
        <v>41</v>
      </c>
      <c r="D50" s="9" t="s">
        <v>42</v>
      </c>
      <c r="E50" s="9" t="s">
        <v>35</v>
      </c>
      <c r="F50" s="10">
        <f>6366173.05+7859487.64-90000-2000000+2000000-119000-4851132.69+36080.66+25.2-25.2+50000+57500+48169.85</f>
        <v>9357278.5099999998</v>
      </c>
      <c r="G50" s="10">
        <f>6802428.47+8277539.11-2500000-24.6-4297729.2</f>
        <v>8282213.7800000003</v>
      </c>
      <c r="H50" s="10">
        <f>6818032.47+8277539.11-2500000</f>
        <v>12595571.58</v>
      </c>
    </row>
    <row r="51" spans="1:8" ht="78.75" x14ac:dyDescent="0.25">
      <c r="A51" s="28" t="s">
        <v>239</v>
      </c>
      <c r="B51" s="9" t="s">
        <v>5</v>
      </c>
      <c r="C51" s="9" t="s">
        <v>41</v>
      </c>
      <c r="D51" s="9" t="s">
        <v>43</v>
      </c>
      <c r="E51" s="9" t="s">
        <v>35</v>
      </c>
      <c r="F51" s="10">
        <v>625715.44999999995</v>
      </c>
      <c r="G51" s="10">
        <v>0</v>
      </c>
      <c r="H51" s="10">
        <v>0</v>
      </c>
    </row>
    <row r="52" spans="1:8" ht="78.75" x14ac:dyDescent="0.25">
      <c r="A52" s="28" t="s">
        <v>241</v>
      </c>
      <c r="B52" s="9" t="s">
        <v>5</v>
      </c>
      <c r="C52" s="9" t="s">
        <v>41</v>
      </c>
      <c r="D52" s="9" t="s">
        <v>44</v>
      </c>
      <c r="E52" s="9" t="s">
        <v>35</v>
      </c>
      <c r="F52" s="10">
        <v>197594.35</v>
      </c>
      <c r="G52" s="10">
        <v>0</v>
      </c>
      <c r="H52" s="10">
        <v>0</v>
      </c>
    </row>
    <row r="53" spans="1:8" ht="78.75" x14ac:dyDescent="0.25">
      <c r="A53" s="28" t="s">
        <v>240</v>
      </c>
      <c r="B53" s="9" t="s">
        <v>5</v>
      </c>
      <c r="C53" s="9" t="s">
        <v>41</v>
      </c>
      <c r="D53" s="9" t="s">
        <v>45</v>
      </c>
      <c r="E53" s="9" t="s">
        <v>35</v>
      </c>
      <c r="F53" s="10">
        <v>725273.23</v>
      </c>
      <c r="G53" s="10">
        <v>0</v>
      </c>
      <c r="H53" s="10">
        <v>0</v>
      </c>
    </row>
    <row r="54" spans="1:8" ht="78.75" x14ac:dyDescent="0.25">
      <c r="A54" s="28" t="s">
        <v>242</v>
      </c>
      <c r="B54" s="9" t="s">
        <v>5</v>
      </c>
      <c r="C54" s="9" t="s">
        <v>41</v>
      </c>
      <c r="D54" s="9" t="s">
        <v>46</v>
      </c>
      <c r="E54" s="9" t="s">
        <v>35</v>
      </c>
      <c r="F54" s="10">
        <f>183226.92-145054.64</f>
        <v>38172.28</v>
      </c>
      <c r="G54" s="10">
        <v>0</v>
      </c>
      <c r="H54" s="10">
        <v>0</v>
      </c>
    </row>
    <row r="55" spans="1:8" ht="94.5" x14ac:dyDescent="0.25">
      <c r="A55" s="28" t="s">
        <v>288</v>
      </c>
      <c r="B55" s="9" t="s">
        <v>5</v>
      </c>
      <c r="C55" s="9" t="s">
        <v>41</v>
      </c>
      <c r="D55" s="9" t="s">
        <v>287</v>
      </c>
      <c r="E55" s="9" t="s">
        <v>35</v>
      </c>
      <c r="F55" s="10">
        <f>246249.68+25.2</f>
        <v>246274.88</v>
      </c>
      <c r="G55" s="10">
        <f>245623.4+24.6</f>
        <v>245648</v>
      </c>
      <c r="H55" s="10">
        <v>0</v>
      </c>
    </row>
    <row r="56" spans="1:8" ht="63" x14ac:dyDescent="0.25">
      <c r="A56" s="24" t="s">
        <v>238</v>
      </c>
      <c r="B56" s="8" t="s">
        <v>5</v>
      </c>
      <c r="C56" s="8" t="s">
        <v>47</v>
      </c>
      <c r="D56" s="8" t="s">
        <v>48</v>
      </c>
      <c r="E56" s="8" t="s">
        <v>9</v>
      </c>
      <c r="F56" s="6">
        <f>127064+38373.5-165437.5</f>
        <v>0</v>
      </c>
      <c r="G56" s="6">
        <f>127064+38373.5-165437.5</f>
        <v>0</v>
      </c>
      <c r="H56" s="6">
        <f>127064+38373.5-165437.5</f>
        <v>0</v>
      </c>
    </row>
    <row r="57" spans="1:8" ht="63" x14ac:dyDescent="0.25">
      <c r="A57" s="24" t="s">
        <v>236</v>
      </c>
      <c r="B57" s="8" t="s">
        <v>5</v>
      </c>
      <c r="C57" s="8" t="s">
        <v>47</v>
      </c>
      <c r="D57" s="8" t="s">
        <v>50</v>
      </c>
      <c r="E57" s="8" t="s">
        <v>11</v>
      </c>
      <c r="F57" s="6">
        <f>113400-113400</f>
        <v>0</v>
      </c>
      <c r="G57" s="6">
        <f>113400-113400</f>
        <v>0</v>
      </c>
      <c r="H57" s="6">
        <v>0</v>
      </c>
    </row>
    <row r="58" spans="1:8" ht="63" x14ac:dyDescent="0.25">
      <c r="A58" s="24" t="s">
        <v>49</v>
      </c>
      <c r="B58" s="8" t="s">
        <v>5</v>
      </c>
      <c r="C58" s="8" t="s">
        <v>47</v>
      </c>
      <c r="D58" s="8" t="s">
        <v>50</v>
      </c>
      <c r="E58" s="8" t="s">
        <v>35</v>
      </c>
      <c r="F58" s="6">
        <f>708750+255150-963900</f>
        <v>0</v>
      </c>
      <c r="G58" s="6">
        <f>708750+255150-963900</f>
        <v>0</v>
      </c>
      <c r="H58" s="6">
        <f>708750+368550-1077300</f>
        <v>0</v>
      </c>
    </row>
    <row r="59" spans="1:8" ht="63" x14ac:dyDescent="0.25">
      <c r="A59" s="24" t="s">
        <v>225</v>
      </c>
      <c r="B59" s="8" t="s">
        <v>5</v>
      </c>
      <c r="C59" s="8" t="s">
        <v>47</v>
      </c>
      <c r="D59" s="8" t="s">
        <v>51</v>
      </c>
      <c r="E59" s="8" t="s">
        <v>35</v>
      </c>
      <c r="F59" s="6">
        <f>56700-56700</f>
        <v>0</v>
      </c>
      <c r="G59" s="6">
        <f>56700-56700</f>
        <v>0</v>
      </c>
      <c r="H59" s="6">
        <f>56700-56700</f>
        <v>0</v>
      </c>
    </row>
    <row r="60" spans="1:8" ht="47.25" x14ac:dyDescent="0.25">
      <c r="A60" s="26" t="s">
        <v>52</v>
      </c>
      <c r="B60" s="8" t="s">
        <v>5</v>
      </c>
      <c r="C60" s="8" t="s">
        <v>53</v>
      </c>
      <c r="D60" s="8" t="s">
        <v>28</v>
      </c>
      <c r="E60" s="8" t="s">
        <v>35</v>
      </c>
      <c r="F60" s="6">
        <f>9421421.16+545400-545400-1000000+1477580.55+435910+3990000+93339.34</f>
        <v>14418251.050000001</v>
      </c>
      <c r="G60" s="6">
        <f>10363563.28-2000000</f>
        <v>8363563.2799999993</v>
      </c>
      <c r="H60" s="6">
        <f>11399919.61-3000000</f>
        <v>8399919.6099999994</v>
      </c>
    </row>
    <row r="61" spans="1:8" ht="63" x14ac:dyDescent="0.25">
      <c r="A61" s="25" t="s">
        <v>216</v>
      </c>
      <c r="B61" s="8" t="s">
        <v>5</v>
      </c>
      <c r="C61" s="8" t="s">
        <v>53</v>
      </c>
      <c r="D61" s="8" t="s">
        <v>55</v>
      </c>
      <c r="E61" s="8" t="s">
        <v>9</v>
      </c>
      <c r="F61" s="6">
        <v>10000</v>
      </c>
      <c r="G61" s="6">
        <v>10000</v>
      </c>
      <c r="H61" s="6">
        <v>10000</v>
      </c>
    </row>
    <row r="62" spans="1:8" ht="31.5" x14ac:dyDescent="0.25">
      <c r="A62" s="25" t="s">
        <v>54</v>
      </c>
      <c r="B62" s="8" t="s">
        <v>5</v>
      </c>
      <c r="C62" s="8" t="s">
        <v>53</v>
      </c>
      <c r="D62" s="8" t="s">
        <v>55</v>
      </c>
      <c r="E62" s="8" t="s">
        <v>11</v>
      </c>
      <c r="F62" s="6">
        <v>216000</v>
      </c>
      <c r="G62" s="6">
        <v>216000</v>
      </c>
      <c r="H62" s="6">
        <v>216000</v>
      </c>
    </row>
    <row r="63" spans="1:8" ht="31.5" x14ac:dyDescent="0.25">
      <c r="A63" s="25" t="s">
        <v>56</v>
      </c>
      <c r="B63" s="8" t="s">
        <v>5</v>
      </c>
      <c r="C63" s="8" t="s">
        <v>53</v>
      </c>
      <c r="D63" s="8" t="s">
        <v>55</v>
      </c>
      <c r="E63" s="8" t="s">
        <v>57</v>
      </c>
      <c r="F63" s="6">
        <v>74000</v>
      </c>
      <c r="G63" s="6">
        <v>74000</v>
      </c>
      <c r="H63" s="6">
        <v>74000</v>
      </c>
    </row>
    <row r="64" spans="1:8" ht="63" x14ac:dyDescent="0.25">
      <c r="A64" s="25" t="s">
        <v>37</v>
      </c>
      <c r="B64" s="8" t="s">
        <v>5</v>
      </c>
      <c r="C64" s="8" t="s">
        <v>53</v>
      </c>
      <c r="D64" s="8" t="s">
        <v>38</v>
      </c>
      <c r="E64" s="8" t="s">
        <v>9</v>
      </c>
      <c r="F64" s="6">
        <f>130000+39260-65000-19630</f>
        <v>84630</v>
      </c>
      <c r="G64" s="6">
        <f t="shared" ref="G64:H64" si="2">130000+39260</f>
        <v>169260</v>
      </c>
      <c r="H64" s="6">
        <f t="shared" si="2"/>
        <v>169260</v>
      </c>
    </row>
    <row r="65" spans="1:11" ht="31.5" x14ac:dyDescent="0.25">
      <c r="A65" s="25" t="s">
        <v>58</v>
      </c>
      <c r="B65" s="8" t="s">
        <v>5</v>
      </c>
      <c r="C65" s="8" t="s">
        <v>53</v>
      </c>
      <c r="D65" s="8" t="s">
        <v>38</v>
      </c>
      <c r="E65" s="8" t="s">
        <v>11</v>
      </c>
      <c r="F65" s="6">
        <v>2740</v>
      </c>
      <c r="G65" s="6">
        <v>2740</v>
      </c>
      <c r="H65" s="6">
        <v>2740</v>
      </c>
    </row>
    <row r="66" spans="1:11" ht="63" x14ac:dyDescent="0.25">
      <c r="A66" s="24" t="s">
        <v>238</v>
      </c>
      <c r="B66" s="8" t="s">
        <v>5</v>
      </c>
      <c r="C66" s="8" t="s">
        <v>53</v>
      </c>
      <c r="D66" s="8" t="s">
        <v>48</v>
      </c>
      <c r="E66" s="8" t="s">
        <v>9</v>
      </c>
      <c r="F66" s="6">
        <f>127064+38373.5</f>
        <v>165437.5</v>
      </c>
      <c r="G66" s="6">
        <f t="shared" ref="G66:H66" si="3">127064+38373.5</f>
        <v>165437.5</v>
      </c>
      <c r="H66" s="6">
        <f t="shared" si="3"/>
        <v>165437.5</v>
      </c>
    </row>
    <row r="67" spans="1:11" ht="63" x14ac:dyDescent="0.25">
      <c r="A67" s="24" t="s">
        <v>236</v>
      </c>
      <c r="B67" s="8" t="s">
        <v>5</v>
      </c>
      <c r="C67" s="8" t="s">
        <v>53</v>
      </c>
      <c r="D67" s="8" t="s">
        <v>50</v>
      </c>
      <c r="E67" s="8" t="s">
        <v>11</v>
      </c>
      <c r="F67" s="6">
        <v>113400</v>
      </c>
      <c r="G67" s="6">
        <v>113400</v>
      </c>
      <c r="H67" s="6">
        <v>0</v>
      </c>
    </row>
    <row r="68" spans="1:11" ht="63" x14ac:dyDescent="0.25">
      <c r="A68" s="24" t="s">
        <v>49</v>
      </c>
      <c r="B68" s="8" t="s">
        <v>5</v>
      </c>
      <c r="C68" s="8" t="s">
        <v>53</v>
      </c>
      <c r="D68" s="8" t="s">
        <v>50</v>
      </c>
      <c r="E68" s="8" t="s">
        <v>35</v>
      </c>
      <c r="F68" s="6">
        <f>708750+255150</f>
        <v>963900</v>
      </c>
      <c r="G68" s="6">
        <f>708750+255150</f>
        <v>963900</v>
      </c>
      <c r="H68" s="6">
        <f>708750+368550</f>
        <v>1077300</v>
      </c>
    </row>
    <row r="69" spans="1:11" ht="63" x14ac:dyDescent="0.25">
      <c r="A69" s="24" t="s">
        <v>225</v>
      </c>
      <c r="B69" s="8" t="s">
        <v>5</v>
      </c>
      <c r="C69" s="8" t="s">
        <v>53</v>
      </c>
      <c r="D69" s="8" t="s">
        <v>51</v>
      </c>
      <c r="E69" s="8" t="s">
        <v>35</v>
      </c>
      <c r="F69" s="6">
        <v>56700</v>
      </c>
      <c r="G69" s="6">
        <v>56700</v>
      </c>
      <c r="H69" s="6">
        <v>56700</v>
      </c>
    </row>
    <row r="70" spans="1:11" ht="31.5" x14ac:dyDescent="0.25">
      <c r="A70" s="25" t="s">
        <v>24</v>
      </c>
      <c r="B70" s="8" t="s">
        <v>5</v>
      </c>
      <c r="C70" s="8" t="s">
        <v>53</v>
      </c>
      <c r="D70" s="8" t="s">
        <v>25</v>
      </c>
      <c r="E70" s="8" t="s">
        <v>11</v>
      </c>
      <c r="F70" s="6">
        <v>28580</v>
      </c>
      <c r="G70" s="6">
        <v>22280</v>
      </c>
      <c r="H70" s="6">
        <v>22280</v>
      </c>
    </row>
    <row r="71" spans="1:11" ht="78.75" x14ac:dyDescent="0.25">
      <c r="A71" s="24" t="s">
        <v>60</v>
      </c>
      <c r="B71" s="8" t="s">
        <v>5</v>
      </c>
      <c r="C71" s="8" t="s">
        <v>53</v>
      </c>
      <c r="D71" s="8" t="s">
        <v>61</v>
      </c>
      <c r="E71" s="8" t="s">
        <v>9</v>
      </c>
      <c r="F71" s="6">
        <f>10615862+3205990.3+289800+87519.6+253042+76418</f>
        <v>14528631.9</v>
      </c>
      <c r="G71" s="6">
        <f t="shared" ref="G71:H71" si="4">10615862+3205990.3</f>
        <v>13821852.300000001</v>
      </c>
      <c r="H71" s="6">
        <f t="shared" si="4"/>
        <v>13821852.300000001</v>
      </c>
    </row>
    <row r="72" spans="1:11" ht="47.25" x14ac:dyDescent="0.25">
      <c r="A72" s="24" t="s">
        <v>62</v>
      </c>
      <c r="B72" s="8" t="s">
        <v>5</v>
      </c>
      <c r="C72" s="8" t="s">
        <v>53</v>
      </c>
      <c r="D72" s="8" t="s">
        <v>61</v>
      </c>
      <c r="E72" s="8" t="s">
        <v>11</v>
      </c>
      <c r="F72" s="6">
        <f>1644618.21+591437.02-500000+500000+150000+84522</f>
        <v>2470577.23</v>
      </c>
      <c r="G72" s="6">
        <f>1364307.88+614248.98-500000</f>
        <v>1478556.8599999999</v>
      </c>
      <c r="H72" s="6">
        <f>1365977.01+644961.42-500000+13014</f>
        <v>1523952.4300000002</v>
      </c>
    </row>
    <row r="73" spans="1:11" ht="31.5" x14ac:dyDescent="0.25">
      <c r="A73" s="28" t="s">
        <v>63</v>
      </c>
      <c r="B73" s="9" t="s">
        <v>5</v>
      </c>
      <c r="C73" s="9" t="s">
        <v>53</v>
      </c>
      <c r="D73" s="8" t="s">
        <v>61</v>
      </c>
      <c r="E73" s="9" t="s">
        <v>13</v>
      </c>
      <c r="F73" s="10">
        <v>2120</v>
      </c>
      <c r="G73" s="10">
        <v>2120</v>
      </c>
      <c r="H73" s="10">
        <v>2120</v>
      </c>
    </row>
    <row r="74" spans="1:11" ht="299.25" x14ac:dyDescent="0.25">
      <c r="A74" s="28" t="s">
        <v>309</v>
      </c>
      <c r="B74" s="9" t="s">
        <v>5</v>
      </c>
      <c r="C74" s="9" t="s">
        <v>65</v>
      </c>
      <c r="D74" s="8" t="s">
        <v>308</v>
      </c>
      <c r="E74" s="9" t="s">
        <v>11</v>
      </c>
      <c r="F74" s="10">
        <v>1217822.6299999999</v>
      </c>
      <c r="G74" s="10">
        <v>1217822.6299999999</v>
      </c>
      <c r="H74" s="10">
        <v>1217822.6299999999</v>
      </c>
    </row>
    <row r="75" spans="1:11" ht="78.75" x14ac:dyDescent="0.25">
      <c r="A75" s="24" t="s">
        <v>64</v>
      </c>
      <c r="B75" s="8" t="s">
        <v>5</v>
      </c>
      <c r="C75" s="8" t="s">
        <v>65</v>
      </c>
      <c r="D75" s="8" t="s">
        <v>66</v>
      </c>
      <c r="E75" s="8" t="s">
        <v>57</v>
      </c>
      <c r="F75" s="6">
        <f>2458533.39-665089.66</f>
        <v>1793443.73</v>
      </c>
      <c r="G75" s="6">
        <v>1832091.9</v>
      </c>
      <c r="H75" s="6">
        <v>1832091.9</v>
      </c>
    </row>
    <row r="76" spans="1:11" ht="47.25" x14ac:dyDescent="0.3">
      <c r="A76" s="24" t="s">
        <v>243</v>
      </c>
      <c r="B76" s="8" t="s">
        <v>5</v>
      </c>
      <c r="C76" s="8" t="s">
        <v>67</v>
      </c>
      <c r="D76" s="8" t="s">
        <v>68</v>
      </c>
      <c r="E76" s="8" t="s">
        <v>35</v>
      </c>
      <c r="F76" s="6">
        <f>390528+117939.46+173000+18000+45000+105918.78</f>
        <v>850386.24</v>
      </c>
      <c r="G76" s="6">
        <v>709017.46</v>
      </c>
      <c r="H76" s="6">
        <v>709017.46</v>
      </c>
      <c r="I76" s="3"/>
      <c r="J76" s="3"/>
      <c r="K76" s="3"/>
    </row>
    <row r="77" spans="1:11" ht="31.5" x14ac:dyDescent="0.25">
      <c r="A77" s="54" t="s">
        <v>69</v>
      </c>
      <c r="B77" s="55" t="s">
        <v>70</v>
      </c>
      <c r="C77" s="55"/>
      <c r="D77" s="55"/>
      <c r="E77" s="55"/>
      <c r="F77" s="56">
        <f>SUM(F78:F85)</f>
        <v>14021058.319999998</v>
      </c>
      <c r="G77" s="56">
        <f t="shared" ref="G77:H77" si="5">SUM(G78:G85)</f>
        <v>13076830.17</v>
      </c>
      <c r="H77" s="56">
        <f t="shared" si="5"/>
        <v>13219066.48</v>
      </c>
      <c r="I77" s="4"/>
      <c r="J77" s="4"/>
      <c r="K77" s="4"/>
    </row>
    <row r="78" spans="1:11" ht="63" x14ac:dyDescent="0.25">
      <c r="A78" s="29" t="s">
        <v>71</v>
      </c>
      <c r="B78" s="7" t="s">
        <v>70</v>
      </c>
      <c r="C78" s="11" t="s">
        <v>72</v>
      </c>
      <c r="D78" s="11" t="s">
        <v>73</v>
      </c>
      <c r="E78" s="11" t="s">
        <v>9</v>
      </c>
      <c r="F78" s="58">
        <f>11579467+200571.5+60572.7</f>
        <v>11840611.199999999</v>
      </c>
      <c r="G78" s="58">
        <v>11579467</v>
      </c>
      <c r="H78" s="58">
        <v>11579467</v>
      </c>
    </row>
    <row r="79" spans="1:11" ht="31.5" x14ac:dyDescent="0.25">
      <c r="A79" s="30" t="s">
        <v>74</v>
      </c>
      <c r="B79" s="7" t="s">
        <v>70</v>
      </c>
      <c r="C79" s="11" t="s">
        <v>72</v>
      </c>
      <c r="D79" s="11" t="s">
        <v>73</v>
      </c>
      <c r="E79" s="11" t="s">
        <v>11</v>
      </c>
      <c r="F79" s="6">
        <f>338441.12+27690</f>
        <v>366131.12</v>
      </c>
      <c r="G79" s="6">
        <v>355363.17</v>
      </c>
      <c r="H79" s="6">
        <v>390899.48</v>
      </c>
    </row>
    <row r="80" spans="1:11" ht="31.5" x14ac:dyDescent="0.25">
      <c r="A80" s="28" t="s">
        <v>75</v>
      </c>
      <c r="B80" s="9" t="s">
        <v>70</v>
      </c>
      <c r="C80" s="12" t="s">
        <v>72</v>
      </c>
      <c r="D80" s="11" t="s">
        <v>73</v>
      </c>
      <c r="E80" s="9" t="s">
        <v>13</v>
      </c>
      <c r="F80" s="10">
        <v>1000</v>
      </c>
      <c r="G80" s="10">
        <v>1000</v>
      </c>
      <c r="H80" s="10">
        <v>1000</v>
      </c>
    </row>
    <row r="81" spans="1:8" ht="94.5" x14ac:dyDescent="0.25">
      <c r="A81" s="28" t="s">
        <v>76</v>
      </c>
      <c r="B81" s="9" t="s">
        <v>70</v>
      </c>
      <c r="C81" s="12" t="s">
        <v>72</v>
      </c>
      <c r="D81" s="11" t="s">
        <v>77</v>
      </c>
      <c r="E81" s="9" t="s">
        <v>9</v>
      </c>
      <c r="F81" s="10">
        <v>649316</v>
      </c>
      <c r="G81" s="10">
        <v>0</v>
      </c>
      <c r="H81" s="10">
        <v>0</v>
      </c>
    </row>
    <row r="82" spans="1:8" ht="31.5" x14ac:dyDescent="0.25">
      <c r="A82" s="24" t="s">
        <v>78</v>
      </c>
      <c r="B82" s="8" t="s">
        <v>70</v>
      </c>
      <c r="C82" s="8" t="s">
        <v>72</v>
      </c>
      <c r="D82" s="8" t="s">
        <v>79</v>
      </c>
      <c r="E82" s="8" t="s">
        <v>11</v>
      </c>
      <c r="F82" s="6">
        <v>1017000</v>
      </c>
      <c r="G82" s="6">
        <v>1017000</v>
      </c>
      <c r="H82" s="6">
        <v>1118700</v>
      </c>
    </row>
    <row r="83" spans="1:8" ht="31.5" x14ac:dyDescent="0.25">
      <c r="A83" s="24" t="s">
        <v>80</v>
      </c>
      <c r="B83" s="8" t="s">
        <v>70</v>
      </c>
      <c r="C83" s="12" t="s">
        <v>72</v>
      </c>
      <c r="D83" s="8" t="s">
        <v>81</v>
      </c>
      <c r="E83" s="8" t="s">
        <v>11</v>
      </c>
      <c r="F83" s="6">
        <v>50000</v>
      </c>
      <c r="G83" s="6">
        <v>50000</v>
      </c>
      <c r="H83" s="6">
        <v>55000</v>
      </c>
    </row>
    <row r="84" spans="1:8" ht="31.5" x14ac:dyDescent="0.25">
      <c r="A84" s="24" t="s">
        <v>227</v>
      </c>
      <c r="B84" s="8" t="s">
        <v>70</v>
      </c>
      <c r="C84" s="12" t="s">
        <v>107</v>
      </c>
      <c r="D84" s="8" t="s">
        <v>156</v>
      </c>
      <c r="E84" s="8" t="s">
        <v>13</v>
      </c>
      <c r="F84" s="6">
        <v>23000</v>
      </c>
      <c r="G84" s="6">
        <v>0</v>
      </c>
      <c r="H84" s="6">
        <v>0</v>
      </c>
    </row>
    <row r="85" spans="1:8" ht="47.25" x14ac:dyDescent="0.25">
      <c r="A85" s="24" t="s">
        <v>82</v>
      </c>
      <c r="B85" s="8" t="s">
        <v>70</v>
      </c>
      <c r="C85" s="12" t="s">
        <v>83</v>
      </c>
      <c r="D85" s="8" t="s">
        <v>84</v>
      </c>
      <c r="E85" s="8" t="s">
        <v>11</v>
      </c>
      <c r="F85" s="6">
        <v>74000</v>
      </c>
      <c r="G85" s="6">
        <v>74000</v>
      </c>
      <c r="H85" s="6">
        <v>74000</v>
      </c>
    </row>
    <row r="86" spans="1:8" ht="15.75" x14ac:dyDescent="0.25">
      <c r="A86" s="54" t="s">
        <v>85</v>
      </c>
      <c r="B86" s="55" t="s">
        <v>86</v>
      </c>
      <c r="C86" s="55"/>
      <c r="D86" s="55"/>
      <c r="E86" s="55"/>
      <c r="F86" s="56">
        <f>SUM(F87:F90)</f>
        <v>1279527.43</v>
      </c>
      <c r="G86" s="56">
        <f t="shared" ref="G86:H86" si="6">SUM(G87:G90)</f>
        <v>1150974.78</v>
      </c>
      <c r="H86" s="56">
        <f t="shared" si="6"/>
        <v>1150974.78</v>
      </c>
    </row>
    <row r="87" spans="1:8" ht="94.5" x14ac:dyDescent="0.25">
      <c r="A87" s="28" t="s">
        <v>87</v>
      </c>
      <c r="B87" s="9" t="s">
        <v>86</v>
      </c>
      <c r="C87" s="9" t="s">
        <v>88</v>
      </c>
      <c r="D87" s="13" t="s">
        <v>89</v>
      </c>
      <c r="E87" s="9" t="s">
        <v>9</v>
      </c>
      <c r="F87" s="10">
        <f>54542.17+52464.63</f>
        <v>107006.79999999999</v>
      </c>
      <c r="G87" s="10">
        <v>0</v>
      </c>
      <c r="H87" s="10">
        <v>0</v>
      </c>
    </row>
    <row r="88" spans="1:8" ht="78.75" x14ac:dyDescent="0.25">
      <c r="A88" s="24" t="s">
        <v>90</v>
      </c>
      <c r="B88" s="8" t="s">
        <v>86</v>
      </c>
      <c r="C88" s="8" t="s">
        <v>88</v>
      </c>
      <c r="D88" s="14" t="s">
        <v>91</v>
      </c>
      <c r="E88" s="8" t="s">
        <v>9</v>
      </c>
      <c r="F88" s="6">
        <f>922974.78+16164.25+4881.6</f>
        <v>944020.63</v>
      </c>
      <c r="G88" s="6">
        <v>922974.78</v>
      </c>
      <c r="H88" s="6">
        <v>922974.78</v>
      </c>
    </row>
    <row r="89" spans="1:8" ht="31.5" x14ac:dyDescent="0.25">
      <c r="A89" s="28" t="s">
        <v>191</v>
      </c>
      <c r="B89" s="9" t="s">
        <v>86</v>
      </c>
      <c r="C89" s="9" t="s">
        <v>88</v>
      </c>
      <c r="D89" s="13" t="s">
        <v>194</v>
      </c>
      <c r="E89" s="9" t="s">
        <v>13</v>
      </c>
      <c r="F89" s="10">
        <v>500</v>
      </c>
      <c r="G89" s="10">
        <v>0</v>
      </c>
      <c r="H89" s="10">
        <v>0</v>
      </c>
    </row>
    <row r="90" spans="1:8" ht="78.75" x14ac:dyDescent="0.25">
      <c r="A90" s="28" t="s">
        <v>92</v>
      </c>
      <c r="B90" s="9" t="s">
        <v>86</v>
      </c>
      <c r="C90" s="9" t="s">
        <v>88</v>
      </c>
      <c r="D90" s="13" t="s">
        <v>93</v>
      </c>
      <c r="E90" s="9" t="s">
        <v>9</v>
      </c>
      <c r="F90" s="10">
        <v>228000</v>
      </c>
      <c r="G90" s="10">
        <v>228000</v>
      </c>
      <c r="H90" s="10">
        <v>228000</v>
      </c>
    </row>
    <row r="91" spans="1:8" ht="15.75" x14ac:dyDescent="0.25">
      <c r="A91" s="54" t="s">
        <v>94</v>
      </c>
      <c r="B91" s="59" t="s">
        <v>95</v>
      </c>
      <c r="C91" s="59"/>
      <c r="D91" s="59"/>
      <c r="E91" s="59"/>
      <c r="F91" s="60">
        <f>SUM(F92:F184)</f>
        <v>130020935.01899998</v>
      </c>
      <c r="G91" s="60">
        <f>SUM(G92:G184)</f>
        <v>66059048.189999998</v>
      </c>
      <c r="H91" s="60">
        <f>SUM(H92:H184)</f>
        <v>66379606.380000003</v>
      </c>
    </row>
    <row r="92" spans="1:8" ht="78.75" x14ac:dyDescent="0.25">
      <c r="A92" s="24" t="s">
        <v>96</v>
      </c>
      <c r="B92" s="8" t="s">
        <v>95</v>
      </c>
      <c r="C92" s="8" t="s">
        <v>97</v>
      </c>
      <c r="D92" s="14" t="s">
        <v>98</v>
      </c>
      <c r="E92" s="8" t="s">
        <v>9</v>
      </c>
      <c r="F92" s="6">
        <f>1809780+31625+9550.75</f>
        <v>1850955.75</v>
      </c>
      <c r="G92" s="6">
        <v>1809780</v>
      </c>
      <c r="H92" s="6">
        <v>1809780</v>
      </c>
    </row>
    <row r="93" spans="1:8" ht="78.75" x14ac:dyDescent="0.25">
      <c r="A93" s="23" t="s">
        <v>323</v>
      </c>
      <c r="B93" s="7" t="s">
        <v>95</v>
      </c>
      <c r="C93" s="7" t="s">
        <v>97</v>
      </c>
      <c r="D93" s="15" t="s">
        <v>322</v>
      </c>
      <c r="E93" s="7" t="s">
        <v>9</v>
      </c>
      <c r="F93" s="16">
        <v>1171800</v>
      </c>
      <c r="G93" s="16">
        <v>0</v>
      </c>
      <c r="H93" s="16">
        <v>0</v>
      </c>
    </row>
    <row r="94" spans="1:8" ht="63" x14ac:dyDescent="0.25">
      <c r="A94" s="23" t="s">
        <v>71</v>
      </c>
      <c r="B94" s="7" t="s">
        <v>95</v>
      </c>
      <c r="C94" s="7" t="s">
        <v>99</v>
      </c>
      <c r="D94" s="7" t="s">
        <v>73</v>
      </c>
      <c r="E94" s="7" t="s">
        <v>9</v>
      </c>
      <c r="F94" s="16">
        <f>33213813+198936.67+60078.88+624602.58+188629.98</f>
        <v>34286061.109999999</v>
      </c>
      <c r="G94" s="16">
        <v>33213813</v>
      </c>
      <c r="H94" s="16">
        <v>33213813</v>
      </c>
    </row>
    <row r="95" spans="1:8" ht="31.5" x14ac:dyDescent="0.25">
      <c r="A95" s="24" t="s">
        <v>74</v>
      </c>
      <c r="B95" s="8" t="s">
        <v>95</v>
      </c>
      <c r="C95" s="8" t="s">
        <v>99</v>
      </c>
      <c r="D95" s="7" t="s">
        <v>73</v>
      </c>
      <c r="E95" s="8" t="s">
        <v>11</v>
      </c>
      <c r="F95" s="6">
        <f>250000+16000+291400+54000</f>
        <v>611400</v>
      </c>
      <c r="G95" s="6">
        <v>0</v>
      </c>
      <c r="H95" s="6">
        <v>0</v>
      </c>
    </row>
    <row r="96" spans="1:8" ht="31.5" x14ac:dyDescent="0.25">
      <c r="A96" s="24" t="s">
        <v>75</v>
      </c>
      <c r="B96" s="8" t="s">
        <v>95</v>
      </c>
      <c r="C96" s="8" t="s">
        <v>99</v>
      </c>
      <c r="D96" s="7" t="s">
        <v>73</v>
      </c>
      <c r="E96" s="8" t="s">
        <v>13</v>
      </c>
      <c r="F96" s="6">
        <v>16000</v>
      </c>
      <c r="G96" s="6">
        <v>0</v>
      </c>
      <c r="H96" s="6">
        <v>0</v>
      </c>
    </row>
    <row r="97" spans="1:8" ht="94.5" x14ac:dyDescent="0.25">
      <c r="A97" s="24" t="s">
        <v>76</v>
      </c>
      <c r="B97" s="8" t="s">
        <v>95</v>
      </c>
      <c r="C97" s="8" t="s">
        <v>99</v>
      </c>
      <c r="D97" s="7" t="s">
        <v>77</v>
      </c>
      <c r="E97" s="8" t="s">
        <v>9</v>
      </c>
      <c r="F97" s="6">
        <v>75524.98</v>
      </c>
      <c r="G97" s="6">
        <v>0</v>
      </c>
      <c r="H97" s="6">
        <v>0</v>
      </c>
    </row>
    <row r="98" spans="1:8" ht="78.75" x14ac:dyDescent="0.25">
      <c r="A98" s="24" t="s">
        <v>199</v>
      </c>
      <c r="B98" s="8" t="s">
        <v>95</v>
      </c>
      <c r="C98" s="8" t="s">
        <v>99</v>
      </c>
      <c r="D98" s="14" t="s">
        <v>100</v>
      </c>
      <c r="E98" s="8" t="s">
        <v>9</v>
      </c>
      <c r="F98" s="6">
        <v>555869.91</v>
      </c>
      <c r="G98" s="6">
        <v>587755.15</v>
      </c>
      <c r="H98" s="6">
        <v>587755.15</v>
      </c>
    </row>
    <row r="99" spans="1:8" ht="63" x14ac:dyDescent="0.25">
      <c r="A99" s="24" t="s">
        <v>206</v>
      </c>
      <c r="B99" s="8" t="s">
        <v>95</v>
      </c>
      <c r="C99" s="8" t="s">
        <v>101</v>
      </c>
      <c r="D99" s="14" t="s">
        <v>102</v>
      </c>
      <c r="E99" s="8" t="s">
        <v>11</v>
      </c>
      <c r="F99" s="6">
        <f>1273.98-1273.98</f>
        <v>0</v>
      </c>
      <c r="G99" s="6">
        <v>1329.93</v>
      </c>
      <c r="H99" s="6">
        <v>1177.1300000000001</v>
      </c>
    </row>
    <row r="100" spans="1:8" ht="31.5" x14ac:dyDescent="0.25">
      <c r="A100" s="24" t="s">
        <v>103</v>
      </c>
      <c r="B100" s="8" t="s">
        <v>95</v>
      </c>
      <c r="C100" s="8" t="s">
        <v>104</v>
      </c>
      <c r="D100" s="17" t="s">
        <v>105</v>
      </c>
      <c r="E100" s="8" t="s">
        <v>13</v>
      </c>
      <c r="F100" s="6">
        <v>500000</v>
      </c>
      <c r="G100" s="6">
        <v>500000</v>
      </c>
      <c r="H100" s="6">
        <v>500000</v>
      </c>
    </row>
    <row r="101" spans="1:8" ht="47.25" x14ac:dyDescent="0.25">
      <c r="A101" s="24" t="s">
        <v>106</v>
      </c>
      <c r="B101" s="8" t="s">
        <v>95</v>
      </c>
      <c r="C101" s="8" t="s">
        <v>107</v>
      </c>
      <c r="D101" s="8" t="s">
        <v>108</v>
      </c>
      <c r="E101" s="8" t="s">
        <v>11</v>
      </c>
      <c r="F101" s="6">
        <f>50000-35000</f>
        <v>15000</v>
      </c>
      <c r="G101" s="6">
        <v>50000</v>
      </c>
      <c r="H101" s="6">
        <v>50000</v>
      </c>
    </row>
    <row r="102" spans="1:8" ht="31.5" x14ac:dyDescent="0.25">
      <c r="A102" s="24" t="s">
        <v>109</v>
      </c>
      <c r="B102" s="8" t="s">
        <v>95</v>
      </c>
      <c r="C102" s="8" t="s">
        <v>107</v>
      </c>
      <c r="D102" s="8" t="s">
        <v>110</v>
      </c>
      <c r="E102" s="8" t="s">
        <v>11</v>
      </c>
      <c r="F102" s="6">
        <f>686000+669013+290000+296599+93341.8</f>
        <v>2034953.8</v>
      </c>
      <c r="G102" s="6">
        <v>686000</v>
      </c>
      <c r="H102" s="6">
        <v>686000</v>
      </c>
    </row>
    <row r="103" spans="1:8" ht="63" x14ac:dyDescent="0.25">
      <c r="A103" s="24" t="s">
        <v>111</v>
      </c>
      <c r="B103" s="8" t="s">
        <v>95</v>
      </c>
      <c r="C103" s="8" t="s">
        <v>107</v>
      </c>
      <c r="D103" s="8" t="s">
        <v>112</v>
      </c>
      <c r="E103" s="8" t="s">
        <v>11</v>
      </c>
      <c r="F103" s="6">
        <f>100000-47146.63</f>
        <v>52853.37</v>
      </c>
      <c r="G103" s="6">
        <v>100000</v>
      </c>
      <c r="H103" s="6">
        <v>100000</v>
      </c>
    </row>
    <row r="104" spans="1:8" ht="47.25" x14ac:dyDescent="0.25">
      <c r="A104" s="25" t="s">
        <v>113</v>
      </c>
      <c r="B104" s="8" t="s">
        <v>95</v>
      </c>
      <c r="C104" s="8" t="s">
        <v>107</v>
      </c>
      <c r="D104" s="8" t="s">
        <v>114</v>
      </c>
      <c r="E104" s="8" t="s">
        <v>11</v>
      </c>
      <c r="F104" s="18">
        <f>200000+35000+47146.63+102853.37</f>
        <v>385000</v>
      </c>
      <c r="G104" s="18">
        <v>200000</v>
      </c>
      <c r="H104" s="18">
        <v>200000</v>
      </c>
    </row>
    <row r="105" spans="1:8" ht="45.75" customHeight="1" x14ac:dyDescent="0.25">
      <c r="A105" s="25" t="s">
        <v>115</v>
      </c>
      <c r="B105" s="8" t="s">
        <v>95</v>
      </c>
      <c r="C105" s="8" t="s">
        <v>107</v>
      </c>
      <c r="D105" s="8" t="s">
        <v>116</v>
      </c>
      <c r="E105" s="8" t="s">
        <v>11</v>
      </c>
      <c r="F105" s="6">
        <f>71280.9+30000</f>
        <v>101280.9</v>
      </c>
      <c r="G105" s="6">
        <v>71280.899999999994</v>
      </c>
      <c r="H105" s="6">
        <v>78410</v>
      </c>
    </row>
    <row r="106" spans="1:8" ht="31.5" customHeight="1" x14ac:dyDescent="0.25">
      <c r="A106" s="23" t="s">
        <v>80</v>
      </c>
      <c r="B106" s="19" t="s">
        <v>95</v>
      </c>
      <c r="C106" s="19" t="s">
        <v>107</v>
      </c>
      <c r="D106" s="20" t="s">
        <v>81</v>
      </c>
      <c r="E106" s="19" t="s">
        <v>11</v>
      </c>
      <c r="F106" s="18">
        <v>155000</v>
      </c>
      <c r="G106" s="18">
        <v>155000</v>
      </c>
      <c r="H106" s="18">
        <v>170500</v>
      </c>
    </row>
    <row r="107" spans="1:8" ht="71.25" customHeight="1" x14ac:dyDescent="0.25">
      <c r="A107" s="23" t="s">
        <v>117</v>
      </c>
      <c r="B107" s="19" t="s">
        <v>95</v>
      </c>
      <c r="C107" s="19" t="s">
        <v>107</v>
      </c>
      <c r="D107" s="20" t="s">
        <v>118</v>
      </c>
      <c r="E107" s="19" t="s">
        <v>11</v>
      </c>
      <c r="F107" s="18">
        <v>5000</v>
      </c>
      <c r="G107" s="18">
        <v>5000</v>
      </c>
      <c r="H107" s="18">
        <v>5000</v>
      </c>
    </row>
    <row r="108" spans="1:8" ht="63" x14ac:dyDescent="0.25">
      <c r="A108" s="23" t="s">
        <v>119</v>
      </c>
      <c r="B108" s="19" t="s">
        <v>95</v>
      </c>
      <c r="C108" s="19" t="s">
        <v>107</v>
      </c>
      <c r="D108" s="20" t="s">
        <v>120</v>
      </c>
      <c r="E108" s="19" t="s">
        <v>57</v>
      </c>
      <c r="F108" s="18">
        <v>800</v>
      </c>
      <c r="G108" s="18">
        <v>800</v>
      </c>
      <c r="H108" s="18">
        <v>800</v>
      </c>
    </row>
    <row r="109" spans="1:8" ht="31.5" x14ac:dyDescent="0.25">
      <c r="A109" s="23" t="s">
        <v>121</v>
      </c>
      <c r="B109" s="19" t="s">
        <v>95</v>
      </c>
      <c r="C109" s="19" t="s">
        <v>107</v>
      </c>
      <c r="D109" s="20" t="s">
        <v>122</v>
      </c>
      <c r="E109" s="19" t="s">
        <v>11</v>
      </c>
      <c r="F109" s="18">
        <v>15000</v>
      </c>
      <c r="G109" s="18">
        <v>15000</v>
      </c>
      <c r="H109" s="18">
        <v>15000</v>
      </c>
    </row>
    <row r="110" spans="1:8" ht="47.25" x14ac:dyDescent="0.25">
      <c r="A110" s="23" t="s">
        <v>210</v>
      </c>
      <c r="B110" s="19" t="s">
        <v>95</v>
      </c>
      <c r="C110" s="19" t="s">
        <v>107</v>
      </c>
      <c r="D110" s="20" t="s">
        <v>123</v>
      </c>
      <c r="E110" s="19" t="s">
        <v>11</v>
      </c>
      <c r="F110" s="18">
        <v>40000</v>
      </c>
      <c r="G110" s="18">
        <v>40000</v>
      </c>
      <c r="H110" s="18">
        <v>40000</v>
      </c>
    </row>
    <row r="111" spans="1:8" ht="31.5" x14ac:dyDescent="0.25">
      <c r="A111" s="23" t="s">
        <v>59</v>
      </c>
      <c r="B111" s="19" t="s">
        <v>95</v>
      </c>
      <c r="C111" s="19" t="s">
        <v>107</v>
      </c>
      <c r="D111" s="20" t="s">
        <v>124</v>
      </c>
      <c r="E111" s="19" t="s">
        <v>57</v>
      </c>
      <c r="F111" s="18">
        <v>44000</v>
      </c>
      <c r="G111" s="18">
        <v>88000</v>
      </c>
      <c r="H111" s="18">
        <v>88000</v>
      </c>
    </row>
    <row r="112" spans="1:8" ht="31.5" x14ac:dyDescent="0.25">
      <c r="A112" s="23" t="s">
        <v>125</v>
      </c>
      <c r="B112" s="19" t="s">
        <v>95</v>
      </c>
      <c r="C112" s="19" t="s">
        <v>107</v>
      </c>
      <c r="D112" s="20" t="s">
        <v>126</v>
      </c>
      <c r="E112" s="19" t="s">
        <v>11</v>
      </c>
      <c r="F112" s="18">
        <v>0</v>
      </c>
      <c r="G112" s="18">
        <v>0</v>
      </c>
      <c r="H112" s="18">
        <v>0</v>
      </c>
    </row>
    <row r="113" spans="1:11" ht="47.25" x14ac:dyDescent="0.25">
      <c r="A113" s="31" t="s">
        <v>127</v>
      </c>
      <c r="B113" s="8" t="s">
        <v>95</v>
      </c>
      <c r="C113" s="8" t="s">
        <v>107</v>
      </c>
      <c r="D113" s="8" t="s">
        <v>128</v>
      </c>
      <c r="E113" s="8" t="s">
        <v>11</v>
      </c>
      <c r="F113" s="6">
        <v>3000</v>
      </c>
      <c r="G113" s="6">
        <v>3000</v>
      </c>
      <c r="H113" s="6">
        <v>3000</v>
      </c>
    </row>
    <row r="114" spans="1:11" ht="47.25" x14ac:dyDescent="0.25">
      <c r="A114" s="31" t="s">
        <v>255</v>
      </c>
      <c r="B114" s="8" t="s">
        <v>95</v>
      </c>
      <c r="C114" s="8" t="s">
        <v>107</v>
      </c>
      <c r="D114" s="8" t="s">
        <v>214</v>
      </c>
      <c r="E114" s="8" t="s">
        <v>11</v>
      </c>
      <c r="F114" s="6">
        <f>150000-91149.72</f>
        <v>58850.28</v>
      </c>
      <c r="G114" s="6">
        <v>0</v>
      </c>
      <c r="H114" s="6">
        <v>0</v>
      </c>
    </row>
    <row r="115" spans="1:11" ht="54.75" customHeight="1" x14ac:dyDescent="0.25">
      <c r="A115" s="31" t="s">
        <v>302</v>
      </c>
      <c r="B115" s="8" t="s">
        <v>95</v>
      </c>
      <c r="C115" s="8" t="s">
        <v>107</v>
      </c>
      <c r="D115" s="8" t="s">
        <v>301</v>
      </c>
      <c r="E115" s="8" t="s">
        <v>11</v>
      </c>
      <c r="F115" s="6">
        <f>1731844.62+91149.72-1501130.34</f>
        <v>321864</v>
      </c>
      <c r="G115" s="6">
        <v>0</v>
      </c>
      <c r="H115" s="6">
        <v>0</v>
      </c>
    </row>
    <row r="116" spans="1:11" ht="50.25" customHeight="1" x14ac:dyDescent="0.25">
      <c r="A116" s="31" t="s">
        <v>256</v>
      </c>
      <c r="B116" s="8" t="s">
        <v>95</v>
      </c>
      <c r="C116" s="8" t="s">
        <v>107</v>
      </c>
      <c r="D116" s="8" t="s">
        <v>253</v>
      </c>
      <c r="E116" s="8" t="s">
        <v>11</v>
      </c>
      <c r="F116" s="6">
        <v>20000</v>
      </c>
      <c r="G116" s="6">
        <v>40000</v>
      </c>
      <c r="H116" s="6">
        <v>60000</v>
      </c>
    </row>
    <row r="117" spans="1:11" ht="47.25" x14ac:dyDescent="0.25">
      <c r="A117" s="31" t="s">
        <v>257</v>
      </c>
      <c r="B117" s="8" t="s">
        <v>95</v>
      </c>
      <c r="C117" s="8" t="s">
        <v>107</v>
      </c>
      <c r="D117" s="8" t="s">
        <v>254</v>
      </c>
      <c r="E117" s="8" t="s">
        <v>11</v>
      </c>
      <c r="F117" s="6">
        <v>150000</v>
      </c>
      <c r="G117" s="6">
        <v>150000</v>
      </c>
      <c r="H117" s="6">
        <v>150000</v>
      </c>
    </row>
    <row r="118" spans="1:11" ht="31.5" x14ac:dyDescent="0.25">
      <c r="A118" s="31" t="s">
        <v>227</v>
      </c>
      <c r="B118" s="8" t="s">
        <v>95</v>
      </c>
      <c r="C118" s="8" t="s">
        <v>107</v>
      </c>
      <c r="D118" s="8" t="s">
        <v>156</v>
      </c>
      <c r="E118" s="8" t="s">
        <v>11</v>
      </c>
      <c r="F118" s="6">
        <v>1</v>
      </c>
      <c r="G118" s="6">
        <f>5184480-5184480</f>
        <v>0</v>
      </c>
      <c r="H118" s="6">
        <f>10491063-10491063</f>
        <v>0</v>
      </c>
      <c r="J118" s="5"/>
      <c r="K118" s="5"/>
    </row>
    <row r="119" spans="1:11" ht="31.5" x14ac:dyDescent="0.25">
      <c r="A119" s="31" t="s">
        <v>227</v>
      </c>
      <c r="B119" s="8" t="s">
        <v>95</v>
      </c>
      <c r="C119" s="8" t="s">
        <v>107</v>
      </c>
      <c r="D119" s="8" t="s">
        <v>156</v>
      </c>
      <c r="E119" s="8" t="s">
        <v>13</v>
      </c>
      <c r="F119" s="6">
        <v>0</v>
      </c>
      <c r="G119" s="6">
        <f>5184480-5184480+79501.33</f>
        <v>79501.33</v>
      </c>
      <c r="H119" s="6">
        <f>10491063-10491063+80558.09</f>
        <v>80558.09</v>
      </c>
      <c r="J119" s="5"/>
      <c r="K119" s="5"/>
    </row>
    <row r="120" spans="1:11" ht="31.5" x14ac:dyDescent="0.25">
      <c r="A120" s="31" t="s">
        <v>278</v>
      </c>
      <c r="B120" s="8" t="s">
        <v>95</v>
      </c>
      <c r="C120" s="8" t="s">
        <v>107</v>
      </c>
      <c r="D120" s="8" t="s">
        <v>279</v>
      </c>
      <c r="E120" s="8" t="s">
        <v>13</v>
      </c>
      <c r="F120" s="6">
        <f>3696521.05-1</f>
        <v>3696520.05</v>
      </c>
      <c r="G120" s="6">
        <v>0</v>
      </c>
      <c r="H120" s="6">
        <v>0</v>
      </c>
      <c r="J120" s="5"/>
      <c r="K120" s="5"/>
    </row>
    <row r="121" spans="1:11" ht="31.5" x14ac:dyDescent="0.25">
      <c r="A121" s="24" t="s">
        <v>192</v>
      </c>
      <c r="B121" s="8" t="s">
        <v>95</v>
      </c>
      <c r="C121" s="8" t="s">
        <v>107</v>
      </c>
      <c r="D121" s="8" t="s">
        <v>129</v>
      </c>
      <c r="E121" s="8" t="s">
        <v>57</v>
      </c>
      <c r="F121" s="6">
        <v>27500</v>
      </c>
      <c r="G121" s="6">
        <v>27500</v>
      </c>
      <c r="H121" s="6">
        <v>27500</v>
      </c>
    </row>
    <row r="122" spans="1:11" ht="47.25" x14ac:dyDescent="0.25">
      <c r="A122" s="24" t="s">
        <v>226</v>
      </c>
      <c r="B122" s="8" t="s">
        <v>95</v>
      </c>
      <c r="C122" s="8" t="s">
        <v>107</v>
      </c>
      <c r="D122" s="8" t="s">
        <v>130</v>
      </c>
      <c r="E122" s="8" t="s">
        <v>11</v>
      </c>
      <c r="F122" s="6">
        <v>11357</v>
      </c>
      <c r="G122" s="6">
        <v>11669</v>
      </c>
      <c r="H122" s="6">
        <v>11669</v>
      </c>
    </row>
    <row r="123" spans="1:11" ht="67.5" customHeight="1" x14ac:dyDescent="0.25">
      <c r="A123" s="24" t="s">
        <v>284</v>
      </c>
      <c r="B123" s="8" t="s">
        <v>95</v>
      </c>
      <c r="C123" s="8" t="s">
        <v>107</v>
      </c>
      <c r="D123" s="8" t="s">
        <v>285</v>
      </c>
      <c r="E123" s="8" t="s">
        <v>152</v>
      </c>
      <c r="F123" s="6">
        <f>344526.53+78960.34+577364.53-423486.87</f>
        <v>577364.53</v>
      </c>
      <c r="G123" s="6">
        <v>0</v>
      </c>
      <c r="H123" s="6">
        <v>0</v>
      </c>
    </row>
    <row r="124" spans="1:11" ht="31.5" x14ac:dyDescent="0.25">
      <c r="A124" s="24" t="s">
        <v>233</v>
      </c>
      <c r="B124" s="8" t="s">
        <v>95</v>
      </c>
      <c r="C124" s="8" t="s">
        <v>107</v>
      </c>
      <c r="D124" s="8" t="s">
        <v>131</v>
      </c>
      <c r="E124" s="8" t="s">
        <v>13</v>
      </c>
      <c r="F124" s="6">
        <f>58345+10937</f>
        <v>69282</v>
      </c>
      <c r="G124" s="6">
        <v>0</v>
      </c>
      <c r="H124" s="6">
        <v>0</v>
      </c>
    </row>
    <row r="125" spans="1:11" ht="47.25" x14ac:dyDescent="0.25">
      <c r="A125" s="24" t="s">
        <v>132</v>
      </c>
      <c r="B125" s="8" t="s">
        <v>95</v>
      </c>
      <c r="C125" s="8" t="s">
        <v>133</v>
      </c>
      <c r="D125" s="8" t="s">
        <v>134</v>
      </c>
      <c r="E125" s="8" t="s">
        <v>11</v>
      </c>
      <c r="F125" s="6">
        <f>100000-32227</f>
        <v>67773</v>
      </c>
      <c r="G125" s="6">
        <v>100000</v>
      </c>
      <c r="H125" s="6">
        <v>100000</v>
      </c>
    </row>
    <row r="126" spans="1:11" ht="63" x14ac:dyDescent="0.25">
      <c r="A126" s="24" t="s">
        <v>215</v>
      </c>
      <c r="B126" s="8" t="s">
        <v>95</v>
      </c>
      <c r="C126" s="8" t="s">
        <v>133</v>
      </c>
      <c r="D126" s="8" t="s">
        <v>213</v>
      </c>
      <c r="E126" s="8" t="s">
        <v>11</v>
      </c>
      <c r="F126" s="6">
        <v>11000</v>
      </c>
      <c r="G126" s="6">
        <v>12000</v>
      </c>
      <c r="H126" s="6">
        <v>13000</v>
      </c>
    </row>
    <row r="127" spans="1:11" ht="21.75" customHeight="1" x14ac:dyDescent="0.25">
      <c r="A127" s="28" t="s">
        <v>273</v>
      </c>
      <c r="B127" s="9" t="s">
        <v>95</v>
      </c>
      <c r="C127" s="9" t="s">
        <v>133</v>
      </c>
      <c r="D127" s="8" t="s">
        <v>172</v>
      </c>
      <c r="E127" s="9" t="s">
        <v>152</v>
      </c>
      <c r="F127" s="10">
        <v>100000</v>
      </c>
      <c r="G127" s="10">
        <f>1500000-1500000</f>
        <v>0</v>
      </c>
      <c r="H127" s="10">
        <f>1500000-1500000</f>
        <v>0</v>
      </c>
    </row>
    <row r="128" spans="1:11" ht="47.25" x14ac:dyDescent="0.25">
      <c r="A128" s="24" t="s">
        <v>234</v>
      </c>
      <c r="B128" s="8" t="s">
        <v>95</v>
      </c>
      <c r="C128" s="8" t="s">
        <v>135</v>
      </c>
      <c r="D128" s="8" t="s">
        <v>235</v>
      </c>
      <c r="E128" s="8" t="s">
        <v>11</v>
      </c>
      <c r="F128" s="6">
        <f>1250</f>
        <v>1250</v>
      </c>
      <c r="G128" s="6">
        <v>0</v>
      </c>
      <c r="H128" s="6">
        <v>0</v>
      </c>
    </row>
    <row r="129" spans="1:8" ht="63" x14ac:dyDescent="0.25">
      <c r="A129" s="24" t="s">
        <v>136</v>
      </c>
      <c r="B129" s="8" t="s">
        <v>95</v>
      </c>
      <c r="C129" s="8" t="s">
        <v>135</v>
      </c>
      <c r="D129" s="8" t="s">
        <v>137</v>
      </c>
      <c r="E129" s="8" t="s">
        <v>11</v>
      </c>
      <c r="F129" s="6">
        <v>175404.9</v>
      </c>
      <c r="G129" s="6">
        <v>42542.32</v>
      </c>
      <c r="H129" s="6">
        <v>42542.32</v>
      </c>
    </row>
    <row r="130" spans="1:8" ht="47.25" x14ac:dyDescent="0.25">
      <c r="A130" s="23" t="s">
        <v>138</v>
      </c>
      <c r="B130" s="20" t="s">
        <v>95</v>
      </c>
      <c r="C130" s="20" t="s">
        <v>135</v>
      </c>
      <c r="D130" s="20" t="s">
        <v>139</v>
      </c>
      <c r="E130" s="20" t="s">
        <v>11</v>
      </c>
      <c r="F130" s="21">
        <f>30000-30000+30000-21600+21600</f>
        <v>30000</v>
      </c>
      <c r="G130" s="21">
        <v>30000</v>
      </c>
      <c r="H130" s="21">
        <v>30000</v>
      </c>
    </row>
    <row r="131" spans="1:8" ht="31.5" x14ac:dyDescent="0.25">
      <c r="A131" s="23" t="s">
        <v>147</v>
      </c>
      <c r="B131" s="20" t="s">
        <v>95</v>
      </c>
      <c r="C131" s="20" t="s">
        <v>135</v>
      </c>
      <c r="D131" s="20" t="s">
        <v>307</v>
      </c>
      <c r="E131" s="20" t="s">
        <v>11</v>
      </c>
      <c r="F131" s="21">
        <v>9770.5300000000007</v>
      </c>
      <c r="G131" s="21">
        <v>0</v>
      </c>
      <c r="H131" s="21">
        <v>0</v>
      </c>
    </row>
    <row r="132" spans="1:8" ht="53.25" customHeight="1" x14ac:dyDescent="0.25">
      <c r="A132" s="23" t="s">
        <v>299</v>
      </c>
      <c r="B132" s="20" t="s">
        <v>95</v>
      </c>
      <c r="C132" s="20" t="s">
        <v>135</v>
      </c>
      <c r="D132" s="20" t="s">
        <v>300</v>
      </c>
      <c r="E132" s="20" t="s">
        <v>11</v>
      </c>
      <c r="F132" s="21">
        <v>21600</v>
      </c>
      <c r="G132" s="21">
        <v>0</v>
      </c>
      <c r="H132" s="21">
        <v>0</v>
      </c>
    </row>
    <row r="133" spans="1:8" ht="47.25" x14ac:dyDescent="0.25">
      <c r="A133" s="24" t="s">
        <v>269</v>
      </c>
      <c r="B133" s="8" t="s">
        <v>95</v>
      </c>
      <c r="C133" s="8" t="s">
        <v>135</v>
      </c>
      <c r="D133" s="8" t="s">
        <v>260</v>
      </c>
      <c r="E133" s="8" t="s">
        <v>11</v>
      </c>
      <c r="F133" s="6">
        <v>11484.17</v>
      </c>
      <c r="G133" s="6">
        <v>53266.99</v>
      </c>
      <c r="H133" s="6">
        <v>58449.71</v>
      </c>
    </row>
    <row r="134" spans="1:8" ht="31.5" x14ac:dyDescent="0.25">
      <c r="A134" s="24" t="s">
        <v>140</v>
      </c>
      <c r="B134" s="20" t="s">
        <v>95</v>
      </c>
      <c r="C134" s="20" t="s">
        <v>141</v>
      </c>
      <c r="D134" s="8" t="s">
        <v>142</v>
      </c>
      <c r="E134" s="20" t="s">
        <v>13</v>
      </c>
      <c r="F134" s="21">
        <f>243000+624035.5+32227</f>
        <v>899262.5</v>
      </c>
      <c r="G134" s="21">
        <v>200000</v>
      </c>
      <c r="H134" s="21">
        <v>200000</v>
      </c>
    </row>
    <row r="135" spans="1:8" ht="31.5" x14ac:dyDescent="0.25">
      <c r="A135" s="23" t="s">
        <v>202</v>
      </c>
      <c r="B135" s="20" t="s">
        <v>95</v>
      </c>
      <c r="C135" s="20" t="s">
        <v>141</v>
      </c>
      <c r="D135" s="20" t="s">
        <v>143</v>
      </c>
      <c r="E135" s="20" t="s">
        <v>13</v>
      </c>
      <c r="F135" s="21">
        <f>1815662.58+95561.19-1911223.77</f>
        <v>0</v>
      </c>
      <c r="G135" s="21">
        <f>1510525.28+79501.33-1510525.28-79501.33</f>
        <v>0</v>
      </c>
      <c r="H135" s="21">
        <f>1530603.62+80558.09-1530603.62-80558.09</f>
        <v>0</v>
      </c>
    </row>
    <row r="136" spans="1:8" ht="47.25" x14ac:dyDescent="0.25">
      <c r="A136" s="23" t="s">
        <v>211</v>
      </c>
      <c r="B136" s="7" t="s">
        <v>95</v>
      </c>
      <c r="C136" s="7" t="s">
        <v>261</v>
      </c>
      <c r="D136" s="15" t="s">
        <v>217</v>
      </c>
      <c r="E136" s="20" t="s">
        <v>11</v>
      </c>
      <c r="F136" s="21">
        <f>4775104.13-1275104.13</f>
        <v>3500000</v>
      </c>
      <c r="G136" s="21">
        <f>4883864.13-1083864.13</f>
        <v>3800000</v>
      </c>
      <c r="H136" s="21">
        <f>4883864.13-783864.13</f>
        <v>4100000</v>
      </c>
    </row>
    <row r="137" spans="1:8" ht="157.5" x14ac:dyDescent="0.25">
      <c r="A137" s="23" t="s">
        <v>150</v>
      </c>
      <c r="B137" s="20" t="s">
        <v>95</v>
      </c>
      <c r="C137" s="20" t="s">
        <v>145</v>
      </c>
      <c r="D137" s="20" t="s">
        <v>151</v>
      </c>
      <c r="E137" s="20" t="s">
        <v>11</v>
      </c>
      <c r="F137" s="21">
        <f>2715515.72-2715515.72</f>
        <v>0</v>
      </c>
      <c r="G137" s="21">
        <f>2715515.72-2715515.72</f>
        <v>0</v>
      </c>
      <c r="H137" s="21">
        <v>2715515.72</v>
      </c>
    </row>
    <row r="138" spans="1:8" ht="141.75" x14ac:dyDescent="0.25">
      <c r="A138" s="23" t="s">
        <v>262</v>
      </c>
      <c r="B138" s="20" t="s">
        <v>95</v>
      </c>
      <c r="C138" s="20" t="s">
        <v>145</v>
      </c>
      <c r="D138" s="20" t="s">
        <v>151</v>
      </c>
      <c r="E138" s="20" t="s">
        <v>152</v>
      </c>
      <c r="F138" s="21">
        <f>2715515.72*10%+2715515.72+94336.68+311040+10000+249200+21000</f>
        <v>3672643.9720000005</v>
      </c>
      <c r="G138" s="21">
        <v>0</v>
      </c>
      <c r="H138" s="21">
        <v>0</v>
      </c>
    </row>
    <row r="139" spans="1:8" ht="157.5" x14ac:dyDescent="0.25">
      <c r="A139" s="23" t="s">
        <v>153</v>
      </c>
      <c r="B139" s="20" t="s">
        <v>95</v>
      </c>
      <c r="C139" s="20" t="s">
        <v>145</v>
      </c>
      <c r="D139" s="20" t="s">
        <v>154</v>
      </c>
      <c r="E139" s="20" t="s">
        <v>11</v>
      </c>
      <c r="F139" s="21">
        <f>1472278.57-1472278.57</f>
        <v>0</v>
      </c>
      <c r="G139" s="21">
        <f>1472278.57-147804.28</f>
        <v>1324474.29</v>
      </c>
      <c r="H139" s="21">
        <v>1472278.57</v>
      </c>
    </row>
    <row r="140" spans="1:8" ht="141.75" x14ac:dyDescent="0.25">
      <c r="A140" s="23" t="s">
        <v>263</v>
      </c>
      <c r="B140" s="20" t="s">
        <v>95</v>
      </c>
      <c r="C140" s="20" t="s">
        <v>145</v>
      </c>
      <c r="D140" s="20" t="s">
        <v>154</v>
      </c>
      <c r="E140" s="20" t="s">
        <v>152</v>
      </c>
      <c r="F140" s="21">
        <f>1472278.57*10%+1472278.57+10104.88+361650+21000</f>
        <v>2012261.307</v>
      </c>
      <c r="G140" s="21">
        <v>0</v>
      </c>
      <c r="H140" s="21">
        <v>0</v>
      </c>
    </row>
    <row r="141" spans="1:8" ht="47.25" x14ac:dyDescent="0.25">
      <c r="A141" s="23" t="s">
        <v>144</v>
      </c>
      <c r="B141" s="20" t="s">
        <v>95</v>
      </c>
      <c r="C141" s="20" t="s">
        <v>145</v>
      </c>
      <c r="D141" s="20" t="s">
        <v>146</v>
      </c>
      <c r="E141" s="20" t="s">
        <v>11</v>
      </c>
      <c r="F141" s="21">
        <v>48000</v>
      </c>
      <c r="G141" s="21">
        <v>0</v>
      </c>
      <c r="H141" s="21">
        <v>0</v>
      </c>
    </row>
    <row r="142" spans="1:8" ht="31.5" x14ac:dyDescent="0.25">
      <c r="A142" s="24" t="s">
        <v>147</v>
      </c>
      <c r="B142" s="20" t="s">
        <v>95</v>
      </c>
      <c r="C142" s="20" t="s">
        <v>145</v>
      </c>
      <c r="D142" s="20" t="s">
        <v>148</v>
      </c>
      <c r="E142" s="20" t="s">
        <v>11</v>
      </c>
      <c r="F142" s="21">
        <v>1071155.6399999999</v>
      </c>
      <c r="G142" s="21">
        <v>0</v>
      </c>
      <c r="H142" s="21">
        <v>0</v>
      </c>
    </row>
    <row r="143" spans="1:8" ht="36.75" customHeight="1" x14ac:dyDescent="0.25">
      <c r="A143" s="24" t="s">
        <v>304</v>
      </c>
      <c r="B143" s="20" t="s">
        <v>95</v>
      </c>
      <c r="C143" s="20" t="s">
        <v>145</v>
      </c>
      <c r="D143" s="20" t="s">
        <v>303</v>
      </c>
      <c r="E143" s="20" t="s">
        <v>11</v>
      </c>
      <c r="F143" s="21">
        <f>10000+60000</f>
        <v>70000</v>
      </c>
      <c r="G143" s="21">
        <v>0</v>
      </c>
      <c r="H143" s="21">
        <v>0</v>
      </c>
    </row>
    <row r="144" spans="1:8" ht="51" customHeight="1" x14ac:dyDescent="0.25">
      <c r="A144" s="24" t="s">
        <v>314</v>
      </c>
      <c r="B144" s="20" t="s">
        <v>95</v>
      </c>
      <c r="C144" s="20" t="s">
        <v>145</v>
      </c>
      <c r="D144" s="20" t="s">
        <v>311</v>
      </c>
      <c r="E144" s="20" t="s">
        <v>11</v>
      </c>
      <c r="F144" s="21">
        <f>178000+42975.34</f>
        <v>220975.34</v>
      </c>
      <c r="G144" s="21">
        <v>0</v>
      </c>
      <c r="H144" s="21">
        <v>0</v>
      </c>
    </row>
    <row r="145" spans="1:8" ht="38.25" customHeight="1" x14ac:dyDescent="0.25">
      <c r="A145" s="24" t="s">
        <v>317</v>
      </c>
      <c r="B145" s="20" t="s">
        <v>95</v>
      </c>
      <c r="C145" s="20" t="s">
        <v>145</v>
      </c>
      <c r="D145" s="20" t="s">
        <v>316</v>
      </c>
      <c r="E145" s="20" t="s">
        <v>11</v>
      </c>
      <c r="F145" s="21">
        <v>188950.8</v>
      </c>
      <c r="G145" s="21">
        <v>0</v>
      </c>
      <c r="H145" s="21">
        <v>0</v>
      </c>
    </row>
    <row r="146" spans="1:8" ht="36.75" customHeight="1" x14ac:dyDescent="0.25">
      <c r="A146" s="24" t="s">
        <v>313</v>
      </c>
      <c r="B146" s="20" t="s">
        <v>95</v>
      </c>
      <c r="C146" s="20" t="s">
        <v>145</v>
      </c>
      <c r="D146" s="20" t="s">
        <v>312</v>
      </c>
      <c r="E146" s="20" t="s">
        <v>11</v>
      </c>
      <c r="F146" s="21">
        <v>1006731.27</v>
      </c>
      <c r="G146" s="21">
        <v>2863320</v>
      </c>
      <c r="H146" s="21">
        <v>0</v>
      </c>
    </row>
    <row r="147" spans="1:8" ht="78.75" x14ac:dyDescent="0.25">
      <c r="A147" s="34" t="s">
        <v>232</v>
      </c>
      <c r="B147" s="7" t="s">
        <v>95</v>
      </c>
      <c r="C147" s="7" t="s">
        <v>145</v>
      </c>
      <c r="D147" s="15" t="s">
        <v>149</v>
      </c>
      <c r="E147" s="20" t="s">
        <v>11</v>
      </c>
      <c r="F147" s="21">
        <f>6430432.75+338443.83+613259.42</f>
        <v>7382136</v>
      </c>
      <c r="G147" s="21">
        <f>6430432.75+64953.88+0.01</f>
        <v>6495386.6399999997</v>
      </c>
      <c r="H147" s="21">
        <f>6430432.75+64953.88</f>
        <v>6495386.6299999999</v>
      </c>
    </row>
    <row r="148" spans="1:8" ht="47.25" x14ac:dyDescent="0.25">
      <c r="A148" s="23" t="s">
        <v>248</v>
      </c>
      <c r="B148" s="7" t="s">
        <v>95</v>
      </c>
      <c r="C148" s="7" t="s">
        <v>145</v>
      </c>
      <c r="D148" s="15" t="s">
        <v>286</v>
      </c>
      <c r="E148" s="20" t="s">
        <v>11</v>
      </c>
      <c r="F148" s="21">
        <f>2165195-2165195</f>
        <v>0</v>
      </c>
      <c r="G148" s="21">
        <v>0</v>
      </c>
      <c r="H148" s="21">
        <v>0</v>
      </c>
    </row>
    <row r="149" spans="1:8" ht="47.25" x14ac:dyDescent="0.25">
      <c r="A149" s="23" t="s">
        <v>248</v>
      </c>
      <c r="B149" s="7" t="s">
        <v>95</v>
      </c>
      <c r="C149" s="7" t="s">
        <v>145</v>
      </c>
      <c r="D149" s="15" t="s">
        <v>247</v>
      </c>
      <c r="E149" s="20" t="s">
        <v>11</v>
      </c>
      <c r="F149" s="21">
        <f>2165195-2165195</f>
        <v>0</v>
      </c>
      <c r="G149" s="21">
        <v>0</v>
      </c>
      <c r="H149" s="21">
        <v>0</v>
      </c>
    </row>
    <row r="150" spans="1:8" ht="47.25" x14ac:dyDescent="0.25">
      <c r="A150" s="23" t="s">
        <v>290</v>
      </c>
      <c r="B150" s="7" t="s">
        <v>95</v>
      </c>
      <c r="C150" s="7" t="s">
        <v>145</v>
      </c>
      <c r="D150" s="15" t="s">
        <v>289</v>
      </c>
      <c r="E150" s="20" t="s">
        <v>11</v>
      </c>
      <c r="F150" s="21">
        <f>39139040.04+2165195</f>
        <v>41304235.039999999</v>
      </c>
      <c r="G150" s="21">
        <v>0</v>
      </c>
      <c r="H150" s="21">
        <v>0</v>
      </c>
    </row>
    <row r="151" spans="1:8" ht="15.75" x14ac:dyDescent="0.25">
      <c r="A151" s="24" t="s">
        <v>273</v>
      </c>
      <c r="B151" s="8" t="s">
        <v>95</v>
      </c>
      <c r="C151" s="8" t="s">
        <v>145</v>
      </c>
      <c r="D151" s="8" t="s">
        <v>172</v>
      </c>
      <c r="E151" s="8" t="s">
        <v>152</v>
      </c>
      <c r="F151" s="6">
        <f>245000+100000</f>
        <v>345000</v>
      </c>
      <c r="G151" s="6">
        <f>1500000-1500000</f>
        <v>0</v>
      </c>
      <c r="H151" s="6">
        <f>1500000-1500000</f>
        <v>0</v>
      </c>
    </row>
    <row r="152" spans="1:8" ht="31.5" x14ac:dyDescent="0.25">
      <c r="A152" s="23" t="s">
        <v>193</v>
      </c>
      <c r="B152" s="20" t="s">
        <v>95</v>
      </c>
      <c r="C152" s="20" t="s">
        <v>155</v>
      </c>
      <c r="D152" s="20" t="s">
        <v>156</v>
      </c>
      <c r="E152" s="20" t="s">
        <v>11</v>
      </c>
      <c r="F152" s="21">
        <f>220000.37-53739.08+5062.65+117708.32</f>
        <v>289032.26</v>
      </c>
      <c r="G152" s="21">
        <v>220000.37</v>
      </c>
      <c r="H152" s="21">
        <v>220000.37</v>
      </c>
    </row>
    <row r="153" spans="1:8" ht="126" x14ac:dyDescent="0.25">
      <c r="A153" s="24" t="s">
        <v>157</v>
      </c>
      <c r="B153" s="20" t="s">
        <v>95</v>
      </c>
      <c r="C153" s="20" t="s">
        <v>158</v>
      </c>
      <c r="D153" s="20" t="s">
        <v>159</v>
      </c>
      <c r="E153" s="20" t="s">
        <v>11</v>
      </c>
      <c r="F153" s="21">
        <f>20647.68+99490.2+9000</f>
        <v>129137.88</v>
      </c>
      <c r="G153" s="21">
        <f>252000-231352.32</f>
        <v>20647.679999999993</v>
      </c>
      <c r="H153" s="21">
        <f>252000-231352.32</f>
        <v>20647.679999999993</v>
      </c>
    </row>
    <row r="154" spans="1:8" ht="47.25" x14ac:dyDescent="0.25">
      <c r="A154" s="24" t="s">
        <v>207</v>
      </c>
      <c r="B154" s="20" t="s">
        <v>95</v>
      </c>
      <c r="C154" s="20" t="s">
        <v>160</v>
      </c>
      <c r="D154" s="20" t="s">
        <v>161</v>
      </c>
      <c r="E154" s="20" t="s">
        <v>11</v>
      </c>
      <c r="F154" s="21">
        <f>209000-86833.33-107166.66</f>
        <v>15000.009999999995</v>
      </c>
      <c r="G154" s="21">
        <f>209000-64953.88-0.01</f>
        <v>144046.10999999999</v>
      </c>
      <c r="H154" s="21">
        <f>209000-64953.88</f>
        <v>144046.12</v>
      </c>
    </row>
    <row r="155" spans="1:8" ht="94.5" x14ac:dyDescent="0.25">
      <c r="A155" s="25" t="s">
        <v>162</v>
      </c>
      <c r="B155" s="20" t="s">
        <v>95</v>
      </c>
      <c r="C155" s="20" t="s">
        <v>160</v>
      </c>
      <c r="D155" s="20" t="s">
        <v>163</v>
      </c>
      <c r="E155" s="20" t="s">
        <v>11</v>
      </c>
      <c r="F155" s="21">
        <f>222700-222700</f>
        <v>0</v>
      </c>
      <c r="G155" s="21">
        <v>222700</v>
      </c>
      <c r="H155" s="21">
        <v>222700</v>
      </c>
    </row>
    <row r="156" spans="1:8" ht="78.75" x14ac:dyDescent="0.25">
      <c r="A156" s="25" t="s">
        <v>264</v>
      </c>
      <c r="B156" s="20" t="s">
        <v>95</v>
      </c>
      <c r="C156" s="20" t="s">
        <v>160</v>
      </c>
      <c r="D156" s="20" t="s">
        <v>163</v>
      </c>
      <c r="E156" s="20" t="s">
        <v>152</v>
      </c>
      <c r="F156" s="21">
        <f>222700*10%+222700</f>
        <v>244970</v>
      </c>
      <c r="G156" s="21">
        <v>0</v>
      </c>
      <c r="H156" s="21">
        <v>0</v>
      </c>
    </row>
    <row r="157" spans="1:8" ht="78.75" x14ac:dyDescent="0.25">
      <c r="A157" s="25" t="s">
        <v>219</v>
      </c>
      <c r="B157" s="20" t="s">
        <v>95</v>
      </c>
      <c r="C157" s="20" t="s">
        <v>160</v>
      </c>
      <c r="D157" s="20" t="s">
        <v>164</v>
      </c>
      <c r="E157" s="20" t="s">
        <v>11</v>
      </c>
      <c r="F157" s="21">
        <f>60000-60000</f>
        <v>0</v>
      </c>
      <c r="G157" s="21">
        <v>60000</v>
      </c>
      <c r="H157" s="21">
        <v>60000</v>
      </c>
    </row>
    <row r="158" spans="1:8" ht="78.75" x14ac:dyDescent="0.25">
      <c r="A158" s="25" t="s">
        <v>265</v>
      </c>
      <c r="B158" s="20" t="s">
        <v>95</v>
      </c>
      <c r="C158" s="20" t="s">
        <v>160</v>
      </c>
      <c r="D158" s="20" t="s">
        <v>164</v>
      </c>
      <c r="E158" s="20" t="s">
        <v>152</v>
      </c>
      <c r="F158" s="21">
        <f>60000*10%+60000</f>
        <v>66000</v>
      </c>
      <c r="G158" s="21">
        <v>0</v>
      </c>
      <c r="H158" s="21">
        <v>0</v>
      </c>
    </row>
    <row r="159" spans="1:8" ht="50.25" customHeight="1" x14ac:dyDescent="0.25">
      <c r="A159" s="25" t="s">
        <v>298</v>
      </c>
      <c r="B159" s="20" t="s">
        <v>95</v>
      </c>
      <c r="C159" s="20" t="s">
        <v>160</v>
      </c>
      <c r="D159" s="20" t="s">
        <v>297</v>
      </c>
      <c r="E159" s="20" t="s">
        <v>11</v>
      </c>
      <c r="F159" s="21">
        <f>86833.33+97166.66-51975.34</f>
        <v>132024.65</v>
      </c>
      <c r="G159" s="21">
        <v>0</v>
      </c>
      <c r="H159" s="21">
        <v>0</v>
      </c>
    </row>
    <row r="160" spans="1:8" ht="31.5" x14ac:dyDescent="0.25">
      <c r="A160" s="25" t="s">
        <v>274</v>
      </c>
      <c r="B160" s="20" t="s">
        <v>95</v>
      </c>
      <c r="C160" s="20" t="s">
        <v>160</v>
      </c>
      <c r="D160" s="20" t="s">
        <v>275</v>
      </c>
      <c r="E160" s="20" t="s">
        <v>11</v>
      </c>
      <c r="F160" s="21">
        <v>236384.48</v>
      </c>
      <c r="G160" s="21">
        <v>0</v>
      </c>
      <c r="H160" s="21">
        <v>0</v>
      </c>
    </row>
    <row r="161" spans="1:9" ht="126" x14ac:dyDescent="0.25">
      <c r="A161" s="25" t="s">
        <v>157</v>
      </c>
      <c r="B161" s="20" t="s">
        <v>95</v>
      </c>
      <c r="C161" s="20" t="s">
        <v>160</v>
      </c>
      <c r="D161" s="20" t="s">
        <v>318</v>
      </c>
      <c r="E161" s="20" t="s">
        <v>11</v>
      </c>
      <c r="F161" s="21">
        <v>327908</v>
      </c>
      <c r="G161" s="21">
        <v>0</v>
      </c>
      <c r="H161" s="21">
        <v>0</v>
      </c>
    </row>
    <row r="162" spans="1:9" ht="23.25" customHeight="1" x14ac:dyDescent="0.25">
      <c r="A162" s="24" t="s">
        <v>273</v>
      </c>
      <c r="B162" s="8" t="s">
        <v>95</v>
      </c>
      <c r="C162" s="8" t="s">
        <v>160</v>
      </c>
      <c r="D162" s="8" t="s">
        <v>172</v>
      </c>
      <c r="E162" s="8" t="s">
        <v>152</v>
      </c>
      <c r="F162" s="6">
        <v>300000</v>
      </c>
      <c r="G162" s="6">
        <f>1500000-1500000</f>
        <v>0</v>
      </c>
      <c r="H162" s="6">
        <f>1500000-1500000</f>
        <v>0</v>
      </c>
    </row>
    <row r="163" spans="1:9" ht="63" x14ac:dyDescent="0.25">
      <c r="A163" s="23" t="s">
        <v>165</v>
      </c>
      <c r="B163" s="20" t="s">
        <v>95</v>
      </c>
      <c r="C163" s="20" t="s">
        <v>166</v>
      </c>
      <c r="D163" s="20" t="s">
        <v>167</v>
      </c>
      <c r="E163" s="20" t="s">
        <v>13</v>
      </c>
      <c r="F163" s="21">
        <v>102970</v>
      </c>
      <c r="G163" s="21">
        <v>102970</v>
      </c>
      <c r="H163" s="21">
        <v>102970</v>
      </c>
    </row>
    <row r="164" spans="1:9" ht="31.5" x14ac:dyDescent="0.25">
      <c r="A164" s="32" t="s">
        <v>201</v>
      </c>
      <c r="B164" s="20" t="s">
        <v>95</v>
      </c>
      <c r="C164" s="20" t="s">
        <v>166</v>
      </c>
      <c r="D164" s="20" t="s">
        <v>200</v>
      </c>
      <c r="E164" s="20" t="s">
        <v>11</v>
      </c>
      <c r="F164" s="21">
        <v>437925.25</v>
      </c>
      <c r="G164" s="21">
        <v>437925.25</v>
      </c>
      <c r="H164" s="21">
        <v>437925.25</v>
      </c>
    </row>
    <row r="165" spans="1:9" ht="47.25" x14ac:dyDescent="0.25">
      <c r="A165" s="32" t="s">
        <v>267</v>
      </c>
      <c r="B165" s="20" t="s">
        <v>95</v>
      </c>
      <c r="C165" s="20" t="s">
        <v>166</v>
      </c>
      <c r="D165" s="20" t="s">
        <v>168</v>
      </c>
      <c r="E165" s="20" t="s">
        <v>11</v>
      </c>
      <c r="F165" s="21">
        <f>170000-170000</f>
        <v>0</v>
      </c>
      <c r="G165" s="21">
        <v>170000</v>
      </c>
      <c r="H165" s="21">
        <v>170000</v>
      </c>
    </row>
    <row r="166" spans="1:9" ht="31.5" x14ac:dyDescent="0.25">
      <c r="A166" s="32" t="s">
        <v>266</v>
      </c>
      <c r="B166" s="19" t="s">
        <v>95</v>
      </c>
      <c r="C166" s="19" t="s">
        <v>166</v>
      </c>
      <c r="D166" s="19" t="s">
        <v>168</v>
      </c>
      <c r="E166" s="19" t="s">
        <v>152</v>
      </c>
      <c r="F166" s="21">
        <f>170000*10%+170000+342287.6+50000</f>
        <v>579287.6</v>
      </c>
      <c r="G166" s="18">
        <v>0</v>
      </c>
      <c r="H166" s="18">
        <v>0</v>
      </c>
    </row>
    <row r="167" spans="1:9" ht="69.75" customHeight="1" x14ac:dyDescent="0.25">
      <c r="A167" s="24" t="s">
        <v>315</v>
      </c>
      <c r="B167" s="19" t="s">
        <v>95</v>
      </c>
      <c r="C167" s="19" t="s">
        <v>166</v>
      </c>
      <c r="D167" s="19" t="s">
        <v>310</v>
      </c>
      <c r="E167" s="19" t="s">
        <v>13</v>
      </c>
      <c r="F167" s="18">
        <v>65212</v>
      </c>
      <c r="G167" s="18">
        <v>0</v>
      </c>
      <c r="H167" s="18">
        <v>0</v>
      </c>
    </row>
    <row r="168" spans="1:9" ht="23.25" customHeight="1" x14ac:dyDescent="0.25">
      <c r="A168" s="33" t="s">
        <v>169</v>
      </c>
      <c r="B168" s="22" t="s">
        <v>95</v>
      </c>
      <c r="C168" s="22" t="s">
        <v>166</v>
      </c>
      <c r="D168" s="22" t="s">
        <v>170</v>
      </c>
      <c r="E168" s="22" t="s">
        <v>13</v>
      </c>
      <c r="F168" s="36">
        <f>45375-4125</f>
        <v>41250</v>
      </c>
      <c r="G168" s="36">
        <v>41250</v>
      </c>
      <c r="H168" s="36">
        <v>41250</v>
      </c>
    </row>
    <row r="169" spans="1:9" ht="31.5" x14ac:dyDescent="0.25">
      <c r="A169" s="24" t="s">
        <v>208</v>
      </c>
      <c r="B169" s="19" t="s">
        <v>95</v>
      </c>
      <c r="C169" s="19" t="s">
        <v>166</v>
      </c>
      <c r="D169" s="19" t="s">
        <v>209</v>
      </c>
      <c r="E169" s="19" t="s">
        <v>11</v>
      </c>
      <c r="F169" s="18">
        <f>375000+299947.4</f>
        <v>674947.4</v>
      </c>
      <c r="G169" s="18">
        <v>375000</v>
      </c>
      <c r="H169" s="18">
        <v>375000</v>
      </c>
      <c r="I169" s="2"/>
    </row>
    <row r="170" spans="1:9" ht="51.75" customHeight="1" x14ac:dyDescent="0.25">
      <c r="A170" s="28" t="s">
        <v>296</v>
      </c>
      <c r="B170" s="37" t="s">
        <v>95</v>
      </c>
      <c r="C170" s="37" t="s">
        <v>166</v>
      </c>
      <c r="D170" s="19" t="s">
        <v>295</v>
      </c>
      <c r="E170" s="37" t="s">
        <v>11</v>
      </c>
      <c r="F170" s="38">
        <f>322150.38+134416.45-2887.05-1204.46</f>
        <v>452475.32</v>
      </c>
      <c r="G170" s="38">
        <v>0</v>
      </c>
      <c r="H170" s="38">
        <v>0</v>
      </c>
      <c r="I170" s="2"/>
    </row>
    <row r="171" spans="1:9" ht="67.5" customHeight="1" x14ac:dyDescent="0.25">
      <c r="A171" s="24" t="s">
        <v>284</v>
      </c>
      <c r="B171" s="8" t="s">
        <v>95</v>
      </c>
      <c r="C171" s="8" t="s">
        <v>166</v>
      </c>
      <c r="D171" s="8" t="s">
        <v>285</v>
      </c>
      <c r="E171" s="8" t="s">
        <v>152</v>
      </c>
      <c r="F171" s="6">
        <f>344526.53+78960.34+100906.96</f>
        <v>524393.82999999996</v>
      </c>
      <c r="G171" s="6">
        <v>0</v>
      </c>
      <c r="H171" s="6">
        <v>0</v>
      </c>
    </row>
    <row r="172" spans="1:9" ht="34.5" customHeight="1" x14ac:dyDescent="0.25">
      <c r="A172" s="28" t="s">
        <v>171</v>
      </c>
      <c r="B172" s="9" t="s">
        <v>95</v>
      </c>
      <c r="C172" s="9" t="s">
        <v>166</v>
      </c>
      <c r="D172" s="8" t="s">
        <v>172</v>
      </c>
      <c r="E172" s="9" t="s">
        <v>11</v>
      </c>
      <c r="F172" s="10">
        <f>1500000-1500000+1500000-200000-400000-300000-150000-450000+1500000-1500000</f>
        <v>0</v>
      </c>
      <c r="G172" s="10">
        <f>1500000-1500000</f>
        <v>0</v>
      </c>
      <c r="H172" s="10">
        <f>1500000-1500000</f>
        <v>0</v>
      </c>
    </row>
    <row r="173" spans="1:9" ht="21.75" customHeight="1" x14ac:dyDescent="0.25">
      <c r="A173" s="28" t="s">
        <v>273</v>
      </c>
      <c r="B173" s="9" t="s">
        <v>95</v>
      </c>
      <c r="C173" s="9" t="s">
        <v>166</v>
      </c>
      <c r="D173" s="8" t="s">
        <v>172</v>
      </c>
      <c r="E173" s="9" t="s">
        <v>152</v>
      </c>
      <c r="F173" s="10">
        <f>100000-100000</f>
        <v>0</v>
      </c>
      <c r="G173" s="10">
        <f>1500000-1500000</f>
        <v>0</v>
      </c>
      <c r="H173" s="10">
        <f>1500000-1500000</f>
        <v>0</v>
      </c>
    </row>
    <row r="174" spans="1:9" ht="47.25" x14ac:dyDescent="0.25">
      <c r="A174" s="24" t="s">
        <v>173</v>
      </c>
      <c r="B174" s="8" t="s">
        <v>95</v>
      </c>
      <c r="C174" s="8" t="s">
        <v>41</v>
      </c>
      <c r="D174" s="8" t="s">
        <v>174</v>
      </c>
      <c r="E174" s="8" t="s">
        <v>35</v>
      </c>
      <c r="F174" s="6">
        <f>5071511.87+2512869.52-121822.14-54143.18+356500+26076.06</f>
        <v>7790992.1300000008</v>
      </c>
      <c r="G174" s="6">
        <f>5071511.87+2512869.52</f>
        <v>7584381.3900000006</v>
      </c>
      <c r="H174" s="6">
        <f>5071511.87+2512869.52</f>
        <v>7584381.3900000006</v>
      </c>
    </row>
    <row r="175" spans="1:9" ht="78.75" x14ac:dyDescent="0.25">
      <c r="A175" s="32" t="s">
        <v>228</v>
      </c>
      <c r="B175" s="7" t="s">
        <v>95</v>
      </c>
      <c r="C175" s="7" t="s">
        <v>41</v>
      </c>
      <c r="D175" s="8" t="s">
        <v>175</v>
      </c>
      <c r="E175" s="7" t="s">
        <v>35</v>
      </c>
      <c r="F175" s="16">
        <v>2316753</v>
      </c>
      <c r="G175" s="16">
        <v>0</v>
      </c>
      <c r="H175" s="16">
        <v>0</v>
      </c>
    </row>
    <row r="176" spans="1:9" ht="78.75" x14ac:dyDescent="0.25">
      <c r="A176" s="32" t="s">
        <v>229</v>
      </c>
      <c r="B176" s="7" t="s">
        <v>95</v>
      </c>
      <c r="C176" s="7" t="s">
        <v>41</v>
      </c>
      <c r="D176" s="8" t="s">
        <v>218</v>
      </c>
      <c r="E176" s="7" t="s">
        <v>35</v>
      </c>
      <c r="F176" s="16">
        <f>121822.14+54143.18</f>
        <v>175965.32</v>
      </c>
      <c r="G176" s="16">
        <v>0</v>
      </c>
      <c r="H176" s="16">
        <v>0</v>
      </c>
    </row>
    <row r="177" spans="1:8" ht="47.25" x14ac:dyDescent="0.25">
      <c r="A177" s="32" t="s">
        <v>82</v>
      </c>
      <c r="B177" s="7" t="s">
        <v>95</v>
      </c>
      <c r="C177" s="7" t="s">
        <v>83</v>
      </c>
      <c r="D177" s="8" t="s">
        <v>84</v>
      </c>
      <c r="E177" s="7" t="s">
        <v>11</v>
      </c>
      <c r="F177" s="16">
        <v>100000</v>
      </c>
      <c r="G177" s="16">
        <v>100000</v>
      </c>
      <c r="H177" s="16">
        <v>100000</v>
      </c>
    </row>
    <row r="178" spans="1:8" ht="31.5" x14ac:dyDescent="0.25">
      <c r="A178" s="31" t="s">
        <v>176</v>
      </c>
      <c r="B178" s="8" t="s">
        <v>95</v>
      </c>
      <c r="C178" s="8" t="s">
        <v>177</v>
      </c>
      <c r="D178" s="8" t="s">
        <v>178</v>
      </c>
      <c r="E178" s="8" t="s">
        <v>57</v>
      </c>
      <c r="F178" s="6">
        <f>2036560.2+101191.98+53159.46</f>
        <v>2190911.64</v>
      </c>
      <c r="G178" s="6">
        <v>1872854.04</v>
      </c>
      <c r="H178" s="6">
        <v>1772119.45</v>
      </c>
    </row>
    <row r="179" spans="1:8" ht="47.25" x14ac:dyDescent="0.25">
      <c r="A179" s="24" t="s">
        <v>230</v>
      </c>
      <c r="B179" s="20" t="s">
        <v>95</v>
      </c>
      <c r="C179" s="20" t="s">
        <v>179</v>
      </c>
      <c r="D179" s="7" t="s">
        <v>180</v>
      </c>
      <c r="E179" s="20" t="s">
        <v>57</v>
      </c>
      <c r="F179" s="21">
        <v>0</v>
      </c>
      <c r="G179" s="21">
        <v>63768.6</v>
      </c>
      <c r="H179" s="21">
        <f>85892.4-13014</f>
        <v>72878.399999999994</v>
      </c>
    </row>
    <row r="180" spans="1:8" ht="78.75" x14ac:dyDescent="0.25">
      <c r="A180" s="28" t="s">
        <v>181</v>
      </c>
      <c r="B180" s="22" t="s">
        <v>95</v>
      </c>
      <c r="C180" s="22" t="s">
        <v>179</v>
      </c>
      <c r="D180" s="35" t="s">
        <v>182</v>
      </c>
      <c r="E180" s="22" t="s">
        <v>57</v>
      </c>
      <c r="F180" s="36">
        <f>109317.6-109317.6</f>
        <v>0</v>
      </c>
      <c r="G180" s="36">
        <v>23425.200000000001</v>
      </c>
      <c r="H180" s="36">
        <v>85892.4</v>
      </c>
    </row>
    <row r="181" spans="1:8" ht="47.25" x14ac:dyDescent="0.25">
      <c r="A181" s="28" t="s">
        <v>183</v>
      </c>
      <c r="B181" s="9" t="s">
        <v>95</v>
      </c>
      <c r="C181" s="9" t="s">
        <v>179</v>
      </c>
      <c r="D181" s="9" t="s">
        <v>184</v>
      </c>
      <c r="E181" s="9" t="s">
        <v>35</v>
      </c>
      <c r="F181" s="10">
        <v>122500</v>
      </c>
      <c r="G181" s="10">
        <v>122500</v>
      </c>
      <c r="H181" s="10">
        <v>122500</v>
      </c>
    </row>
    <row r="182" spans="1:8" ht="63" x14ac:dyDescent="0.25">
      <c r="A182" s="28" t="s">
        <v>185</v>
      </c>
      <c r="B182" s="9" t="s">
        <v>95</v>
      </c>
      <c r="C182" s="9" t="s">
        <v>65</v>
      </c>
      <c r="D182" s="9" t="s">
        <v>231</v>
      </c>
      <c r="E182" s="9" t="s">
        <v>186</v>
      </c>
      <c r="F182" s="10">
        <f>1882320+24658.4-72978.4+1069021.1</f>
        <v>2903021.1</v>
      </c>
      <c r="G182" s="10">
        <v>941160</v>
      </c>
      <c r="H182" s="10">
        <v>941160</v>
      </c>
    </row>
    <row r="183" spans="1:8" ht="47.25" x14ac:dyDescent="0.25">
      <c r="A183" s="28" t="s">
        <v>187</v>
      </c>
      <c r="B183" s="9" t="s">
        <v>95</v>
      </c>
      <c r="C183" s="9" t="s">
        <v>188</v>
      </c>
      <c r="D183" s="9" t="s">
        <v>189</v>
      </c>
      <c r="E183" s="9" t="s">
        <v>11</v>
      </c>
      <c r="F183" s="10">
        <f>100000</f>
        <v>100000</v>
      </c>
      <c r="G183" s="10">
        <f t="shared" ref="G183:H183" si="7">100000</f>
        <v>100000</v>
      </c>
      <c r="H183" s="10">
        <f t="shared" si="7"/>
        <v>100000</v>
      </c>
    </row>
    <row r="184" spans="1:8" ht="47.25" x14ac:dyDescent="0.25">
      <c r="A184" s="28" t="s">
        <v>252</v>
      </c>
      <c r="B184" s="9" t="s">
        <v>95</v>
      </c>
      <c r="C184" s="9" t="s">
        <v>188</v>
      </c>
      <c r="D184" s="9" t="s">
        <v>251</v>
      </c>
      <c r="E184" s="9" t="s">
        <v>13</v>
      </c>
      <c r="F184" s="10">
        <v>700000</v>
      </c>
      <c r="G184" s="10">
        <v>700000</v>
      </c>
      <c r="H184" s="10">
        <v>700000</v>
      </c>
    </row>
    <row r="185" spans="1:8" ht="15.75" x14ac:dyDescent="0.25">
      <c r="A185" s="61" t="s">
        <v>190</v>
      </c>
      <c r="B185" s="55"/>
      <c r="C185" s="55"/>
      <c r="D185" s="55"/>
      <c r="E185" s="55"/>
      <c r="F185" s="60">
        <f>F6+F77+F86+F91</f>
        <v>548882298.61899996</v>
      </c>
      <c r="G185" s="60">
        <f>G6+G77+G86+G91</f>
        <v>379575056.64999986</v>
      </c>
      <c r="H185" s="60">
        <f>H6+H77+H86+H91</f>
        <v>376863762.18999994</v>
      </c>
    </row>
  </sheetData>
  <mergeCells count="4">
    <mergeCell ref="F1:H1"/>
    <mergeCell ref="A2:H2"/>
    <mergeCell ref="A3:H3"/>
    <mergeCell ref="G4:H4"/>
  </mergeCells>
  <pageMargins left="0.31496062992125984" right="0.31496062992125984" top="0.35433070866141736" bottom="0.35433070866141736"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Сентябрь</vt:lpstr>
      <vt:lpstr>Сентябрь!Область_печати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2023-08-14T06:58:21Z</cp:lastPrinted>
  <dcterms:created xsi:type="dcterms:W3CDTF">2021-01-26T11:28:42Z</dcterms:created>
  <dcterms:modified xsi:type="dcterms:W3CDTF">2023-10-02T12:12:00Z</dcterms:modified>
</cp:coreProperties>
</file>