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D:\D\СОВЕТ 2023\ПМР\Актуальная редакция\4.Апрель ПМР\"/>
    </mc:Choice>
  </mc:AlternateContent>
  <bookViews>
    <workbookView xWindow="-120" yWindow="-120" windowWidth="25440" windowHeight="15390"/>
  </bookViews>
  <sheets>
    <sheet name="Апрель" sheetId="66" r:id="rId1"/>
  </sheets>
  <definedNames>
    <definedName name="_xlnm.Print_Area" localSheetId="0">Апрель!$A$1:$H$177</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F85" i="66" l="1"/>
  <c r="F163" i="66" l="1"/>
  <c r="F120" i="66"/>
  <c r="F174" i="66"/>
  <c r="F11" i="66" l="1"/>
  <c r="F15" i="66" l="1"/>
  <c r="F91" i="66" l="1"/>
  <c r="H116" i="66" l="1"/>
  <c r="G116" i="66"/>
  <c r="H132" i="66"/>
  <c r="G132" i="66"/>
  <c r="F92" i="66" l="1"/>
  <c r="F49" i="66"/>
  <c r="F71" i="66"/>
  <c r="F131" i="66"/>
  <c r="F122" i="66"/>
  <c r="F96" i="66" l="1"/>
  <c r="F99" i="66" l="1"/>
  <c r="F153" i="66" l="1"/>
  <c r="F148" i="66"/>
  <c r="F132" i="66"/>
  <c r="F39" i="66"/>
  <c r="H175" i="66" l="1"/>
  <c r="G175" i="66"/>
  <c r="F175" i="66"/>
  <c r="F172" i="66"/>
  <c r="H171" i="66"/>
  <c r="F170" i="66"/>
  <c r="F168" i="66"/>
  <c r="H166" i="66"/>
  <c r="G166" i="66"/>
  <c r="F166" i="66"/>
  <c r="H165" i="66"/>
  <c r="G165" i="66"/>
  <c r="H164" i="66"/>
  <c r="G164" i="66"/>
  <c r="F164" i="66"/>
  <c r="F162" i="66"/>
  <c r="F160" i="66"/>
  <c r="F159" i="66"/>
  <c r="F158" i="66"/>
  <c r="H155" i="66"/>
  <c r="G155" i="66"/>
  <c r="F152" i="66"/>
  <c r="F151" i="66"/>
  <c r="F150" i="66"/>
  <c r="F149" i="66"/>
  <c r="H147" i="66"/>
  <c r="G147" i="66"/>
  <c r="F146" i="66"/>
  <c r="H145" i="66"/>
  <c r="G145" i="66"/>
  <c r="F144" i="66"/>
  <c r="F143" i="66"/>
  <c r="F142" i="66"/>
  <c r="F141" i="66"/>
  <c r="F137" i="66"/>
  <c r="F136" i="66"/>
  <c r="F135" i="66"/>
  <c r="F134" i="66"/>
  <c r="H133" i="66"/>
  <c r="G133" i="66"/>
  <c r="F133" i="66"/>
  <c r="F127" i="66"/>
  <c r="F125" i="66"/>
  <c r="H124" i="66"/>
  <c r="H89" i="66" s="1"/>
  <c r="G124" i="66"/>
  <c r="F121" i="66"/>
  <c r="F117" i="66"/>
  <c r="F89" i="66" s="1"/>
  <c r="H115" i="66"/>
  <c r="G115" i="66"/>
  <c r="F112" i="66"/>
  <c r="F111" i="66"/>
  <c r="G89" i="66"/>
  <c r="H84" i="66"/>
  <c r="G84" i="66"/>
  <c r="F84" i="66"/>
  <c r="H76" i="66"/>
  <c r="G76" i="66"/>
  <c r="F76" i="66"/>
  <c r="F75" i="66"/>
  <c r="H71" i="66"/>
  <c r="G71" i="66"/>
  <c r="H70" i="66"/>
  <c r="G70" i="66"/>
  <c r="F70" i="66"/>
  <c r="H67" i="66"/>
  <c r="G67" i="66"/>
  <c r="F67" i="66"/>
  <c r="H65" i="66"/>
  <c r="G65" i="66"/>
  <c r="F65" i="66"/>
  <c r="H63" i="66"/>
  <c r="G63" i="66"/>
  <c r="F63" i="66"/>
  <c r="H59" i="66"/>
  <c r="G59" i="66"/>
  <c r="F59" i="66"/>
  <c r="H58" i="66"/>
  <c r="G58" i="66"/>
  <c r="F58" i="66"/>
  <c r="H57" i="66"/>
  <c r="G57" i="66"/>
  <c r="F57" i="66"/>
  <c r="G56" i="66"/>
  <c r="F56" i="66"/>
  <c r="H55" i="66"/>
  <c r="G55" i="66"/>
  <c r="F55" i="66"/>
  <c r="G54" i="66"/>
  <c r="F54" i="66"/>
  <c r="F53" i="66"/>
  <c r="H49" i="66"/>
  <c r="G49" i="66"/>
  <c r="F48" i="66"/>
  <c r="F47" i="66"/>
  <c r="H46" i="66"/>
  <c r="G46" i="66"/>
  <c r="H45" i="66"/>
  <c r="G45" i="66"/>
  <c r="F45" i="66"/>
  <c r="F41" i="66"/>
  <c r="F40" i="66"/>
  <c r="H39" i="66"/>
  <c r="G39" i="66"/>
  <c r="H38" i="66"/>
  <c r="G38" i="66"/>
  <c r="F38" i="66"/>
  <c r="H36" i="66"/>
  <c r="G36" i="66"/>
  <c r="F36" i="66"/>
  <c r="H32" i="66"/>
  <c r="G32" i="66"/>
  <c r="F32" i="66"/>
  <c r="F31" i="66"/>
  <c r="H30" i="66"/>
  <c r="G30" i="66"/>
  <c r="F30" i="66"/>
  <c r="H29" i="66"/>
  <c r="G29" i="66"/>
  <c r="F29" i="66"/>
  <c r="H28" i="66"/>
  <c r="G28" i="66"/>
  <c r="F28" i="66"/>
  <c r="H27" i="66"/>
  <c r="G27" i="66"/>
  <c r="F27" i="66"/>
  <c r="F26" i="66"/>
  <c r="H25" i="66"/>
  <c r="G25" i="66"/>
  <c r="F25" i="66"/>
  <c r="H24" i="66"/>
  <c r="G24" i="66"/>
  <c r="H23" i="66"/>
  <c r="G23" i="66"/>
  <c r="F23" i="66"/>
  <c r="H21" i="66"/>
  <c r="G21" i="66"/>
  <c r="F21" i="66"/>
  <c r="H20" i="66"/>
  <c r="G20" i="66"/>
  <c r="F20" i="66"/>
  <c r="H18" i="66"/>
  <c r="G18" i="66"/>
  <c r="F18" i="66"/>
  <c r="F17" i="66"/>
  <c r="H13" i="66"/>
  <c r="G13" i="66"/>
  <c r="F13" i="66"/>
  <c r="H12" i="66"/>
  <c r="G12" i="66"/>
  <c r="F12" i="66"/>
  <c r="H11" i="66"/>
  <c r="G11" i="66"/>
  <c r="H10" i="66"/>
  <c r="G10" i="66"/>
  <c r="F10" i="66"/>
  <c r="H8" i="66"/>
  <c r="G8" i="66"/>
  <c r="F8" i="66"/>
  <c r="F6" i="66" s="1"/>
  <c r="H7" i="66"/>
  <c r="H6" i="66" s="1"/>
  <c r="G7" i="66"/>
  <c r="F7" i="66"/>
  <c r="G6" i="66"/>
  <c r="H177" i="66" l="1"/>
  <c r="G177" i="66"/>
  <c r="F177" i="66"/>
</calcChain>
</file>

<file path=xl/sharedStrings.xml><?xml version="1.0" encoding="utf-8"?>
<sst xmlns="http://schemas.openxmlformats.org/spreadsheetml/2006/main" count="856" uniqueCount="314">
  <si>
    <t>Единица измерения: руб.</t>
  </si>
  <si>
    <t>Наименование расходов</t>
  </si>
  <si>
    <t>Код главы</t>
  </si>
  <si>
    <t>Раздел, подраздел</t>
  </si>
  <si>
    <t>Целевая статья</t>
  </si>
  <si>
    <t>Вид расхода</t>
  </si>
  <si>
    <t>2023 год</t>
  </si>
  <si>
    <t>Муниципальное казённое учреждение отдел образования администрации Приволжского  муниципального района</t>
  </si>
  <si>
    <t>073</t>
  </si>
  <si>
    <t>Расходы на обеспечение деятельности (оказание услуг) муниципальных учреждений дошкольного образования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</si>
  <si>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0701</t>
  </si>
  <si>
    <t>03 1 01 01590</t>
  </si>
  <si>
    <t>100</t>
  </si>
  <si>
    <t>Расходы на обеспечение деятельности (оказание услуг) муниципальных учреждений дошкольного образования (Закупка товаров, работ и услуг для обеспечения государственных (муниципальных) нужд)</t>
  </si>
  <si>
    <t>200</t>
  </si>
  <si>
    <t>Расходы на обеспечение деятельности (оказание услуг) муниципальных учреждений дошкольного образования (Иные бюджетные ассигнования)</t>
  </si>
  <si>
    <t>800</t>
  </si>
  <si>
    <t>03 1 01 80170</t>
  </si>
  <si>
    <t>Осуществление переданных органам местного самоуправления государственных полномочий Ивановской области по присмотру и уходу за детьми-сиротами и детьми, оставшимися без попечения родителей, детьми-инвалидами в муниципальных дошкольных образовательных организациях и детьми, нуждающимися в длительном лечении, в муниципальных дошкольных образовательных организациях, осуществляющих оздоровление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</si>
  <si>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03 1 04 80100</t>
  </si>
  <si>
    <t>Осуществление переданных органам местного самоуправления государственных полномочий Ивановской области по присмотру и уходу за детьми-сиротами и детьми, оставшимися без попечения родителей, детьми-инвалидами в муниципальных дошкольных образовательных организациях и детьми, нуждающимися в длительном лечении, в муниципальных дошкольных образовательных организациях, осуществляющих оздоровление (Закупка товаров, работ и услуг для обеспечения государственных (муниципальных) нужд)</t>
  </si>
  <si>
    <t>Организация мероприятий по пожарной и антитеррористической безопасности (Закупка товаров, работ и услуг для обеспечения государственных (муниципальных) нужд)</t>
  </si>
  <si>
    <t>03 1 05 07590</t>
  </si>
  <si>
    <t>Проведение ремонтных работ образовательных учреждений (Закупка товаров, работ и услуг для обеспечения государственных (муниципальных) нужд)</t>
  </si>
  <si>
    <t>03 1 06 08590</t>
  </si>
  <si>
    <t xml:space="preserve">Расходы на мероприятия по обучению детей-инвалидов (Закупка товаров, работ и услуг для обеспечения государственных (муниципальных) нужд) </t>
  </si>
  <si>
    <t>03 5 01 01490</t>
  </si>
  <si>
    <t xml:space="preserve">Охрана труда (Закупка товаров, работ и услуг для обеспечения государственных (муниципальных) нужд) </t>
  </si>
  <si>
    <t>03 7 01 41100</t>
  </si>
  <si>
    <t>0702</t>
  </si>
  <si>
    <t>Расходы на обеспечение деятельности (оказание услуг) муниципальных учреждений общего образования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</si>
  <si>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03 1 02 02590</t>
  </si>
  <si>
    <t>Расходы на обеспечение деятельности (оказание услуг) муниципальных учреждений общего образования (Закупка товаров, работ и услуг для обеспечения государственных (муниципальных) нужд)</t>
  </si>
  <si>
    <t>Расходы на обеспечение деятельности (оказание услуг) муниципальных учреждений общего образования (Иные межбюджетные ассигнования)</t>
  </si>
  <si>
    <t>03 1 02 53031</t>
  </si>
  <si>
    <t>03 1 02 80150</t>
  </si>
  <si>
    <t>Возмещение затрат на финансовое обеспечение получения дошкольного, начального общего, основного общего, среднего общего образования в частных общеобразовательных организациях, осуществляющих образовательную деятельность по имеющим государственную аккредитацию основным общеобразовательным программам, включая расходы на оплату труда, приобретение учебников и учебных пособий, средств обучения, игр и игрушек (за исключением расходов на содержание зданий и оплату коммунальных услуг) (Предоставление субсидий бюджетным, автономным учреждениям и иным некоммерческим организациям)</t>
  </si>
  <si>
    <t>03 1 02 80160</t>
  </si>
  <si>
    <t>600</t>
  </si>
  <si>
    <t>03 1 02 L3041</t>
  </si>
  <si>
    <t>Поддержка молодых специалистов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</si>
  <si>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03 3 01 06590</t>
  </si>
  <si>
    <t xml:space="preserve">Проведение государственной итоговой аттестации выпускников (Закупка товаров, работ и услуг для обеспечения государственных (муниципальных) нужд) </t>
  </si>
  <si>
    <t>03 6 01 01790</t>
  </si>
  <si>
    <t>0703</t>
  </si>
  <si>
    <t>03 1 03 03590</t>
  </si>
  <si>
    <t>03 1 03 81420</t>
  </si>
  <si>
    <t>03 1 03 S1420</t>
  </si>
  <si>
    <t>03 1 03 81440</t>
  </si>
  <si>
    <t>03 1 03 S1440</t>
  </si>
  <si>
    <t>0707</t>
  </si>
  <si>
    <t>03 4 01 00100</t>
  </si>
  <si>
    <t>Расходы по организации отдыха детей в каникулярное время в части организации двухразового питания в лагерях дневного пребывания (Предоставление субсидий бюджетным, автономным учреждениям и иным некоммерческим организациям)</t>
  </si>
  <si>
    <t>03 4 02 S0190</t>
  </si>
  <si>
    <t>03 4 02 80200</t>
  </si>
  <si>
    <t>Расходы на обеспечение деятельности (оказание услуг) муниципальных учреждений общего образования (Предоставление субсидий бюджетным, автономным учреждениям и иным некоммерческим организациям)</t>
  </si>
  <si>
    <t>0709</t>
  </si>
  <si>
    <t>Организация мероприятий по поддержке одаренных детей  (Закупка товаров, работ и услуг для обеспечения государственных (муниципальных) нужд)</t>
  </si>
  <si>
    <t>03 2 01 05590</t>
  </si>
  <si>
    <t>Организация мероприятий по поддержке одаренных детей  (Социальное обеспечение и иные выплаты населению)</t>
  </si>
  <si>
    <t>300</t>
  </si>
  <si>
    <t>Поддержка молодых специалистов (Закупка товаров, работ и услуг для обеспечения государственных (муниципальных) нужд)</t>
  </si>
  <si>
    <t>Поддержка молодых специалистов (Социальное обеспечение и иные выплаты населению)</t>
  </si>
  <si>
    <t>Расходы на обеспечение деятельности (оказание услуг) муниципальных учреждений по другим вопросам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</si>
  <si>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42 9 00 04590</t>
  </si>
  <si>
    <t>Расходы на обеспечение деятельности (оказание услуг) муниципальных учреждений по другим вопросам (Закупка товаров, работ и услуг для обеспечения государственных (муниципальных) нужд)</t>
  </si>
  <si>
    <t>Расходы на обеспечение деятельности (оказание услуг) муниципальных учреждений по другим вопросам (Иные бюджетные ассигнования)</t>
  </si>
  <si>
    <t>Осуществление переданных органам местного самоуправления государственных полномочий Ивановской области  по выплате компенсации части родительской платы за присмотр и уход за детьми в образовательных организациях, реализующих образовательную программу дошкольного образования (Социальное обеспечение и иные выплаты населению)</t>
  </si>
  <si>
    <t>1004</t>
  </si>
  <si>
    <t>03 1 04 80110</t>
  </si>
  <si>
    <t>1101</t>
  </si>
  <si>
    <t>03 8 01 01890</t>
  </si>
  <si>
    <t>Финансовое управление администрации Приволжского  муниципального района</t>
  </si>
  <si>
    <t>092</t>
  </si>
  <si>
    <t>Обеспечение функций органов местного самоуправления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</si>
  <si>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0106</t>
  </si>
  <si>
    <t>40 9 00 01500</t>
  </si>
  <si>
    <t>Обеспечение функций органов местного самоуправления (Закупка товаров, работ и услуг для обеспечения государственных (муниципальных) нужд)</t>
  </si>
  <si>
    <t>Обеспечение функций органов местного самоуправления (Иные бюджетные ассигнования)</t>
  </si>
  <si>
    <t>Обеспечение функций органов местного самоуправления. Передача (исполнение) осуществления части полномочий в соответствии с заключенными соглашениями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</si>
  <si>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40 9 00 01510</t>
  </si>
  <si>
    <t>Обеспечение средствами информатизации (Закупка товаров, работ и услуг для обеспечения государственных (муниципальных) нужд)</t>
  </si>
  <si>
    <t>11 3 01 00080</t>
  </si>
  <si>
    <t>Диспансеризация муниципальных служащих  (Закупка товаров, работ и услуг для обеспечения государственных (муниципальных) нужд)</t>
  </si>
  <si>
    <t>11 4 01 00090</t>
  </si>
  <si>
    <t>Расходы на создание условий для профессионального развития и подготовки кадров муниципальной службы (Закупка товаров, работ и услуг для обеспечения государственных (муниципальных) нужд)</t>
  </si>
  <si>
    <t>0705</t>
  </si>
  <si>
    <t>11 1 01 02500</t>
  </si>
  <si>
    <t xml:space="preserve">Совет Приволжского муниципального района </t>
  </si>
  <si>
    <t>122</t>
  </si>
  <si>
    <t>Обеспечение функционирования представительного органа муниципального образования. Передача (исполнение) осуществления части полномочий в соответствии с заключенными соглашениями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</si>
  <si>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0103</t>
  </si>
  <si>
    <t>40 9 00 01520</t>
  </si>
  <si>
    <t>Обеспечение функционирования представительного органа муниципального образования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</si>
  <si>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40 9 00 01900</t>
  </si>
  <si>
    <t>Возмещение расходов депутатам, осуществляющим полномочия на непостоянной основе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</si>
  <si>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40 9 00 01910</t>
  </si>
  <si>
    <t>Администрация Приволжского  муниципального района</t>
  </si>
  <si>
    <t>303</t>
  </si>
  <si>
    <t>Обеспечение функционирования высшего должностного лица органа местного самоуправления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</si>
  <si>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0102</t>
  </si>
  <si>
    <t>40 9 00 01700</t>
  </si>
  <si>
    <t>0104</t>
  </si>
  <si>
    <t>13 2 01 80360</t>
  </si>
  <si>
    <t>0105</t>
  </si>
  <si>
    <t>40 9 00 51200</t>
  </si>
  <si>
    <t>Резервный фонд Администрации Приволжского муниципального района (Иные бюджетные ассигнования)</t>
  </si>
  <si>
    <t>0111</t>
  </si>
  <si>
    <t>01 2 01 20810</t>
  </si>
  <si>
    <t xml:space="preserve">Организация учета муниципального имущества и проведение его технической инвентаризации (Закупка товаров, работ и услуг для обеспечения государственных (муниципальных) нужд) </t>
  </si>
  <si>
    <t>0113</t>
  </si>
  <si>
    <t>04 1 01 20910</t>
  </si>
  <si>
    <t>Расходы на содержание казны (Закупка товаров, работ и услуг для обеспечения государственных (муниципальных) нужд)</t>
  </si>
  <si>
    <t>04 1 01 20920</t>
  </si>
  <si>
    <t>Проведение независимой оценки размера арендной платы, рыночной стоимости муниципального имущества, а также земельных участков, находящихся в государственной собственности до разграничения (Закупка товаров, работ и услуг для обеспечения государственных (муниципальных) нужд)</t>
  </si>
  <si>
    <t>04 1 01 20930</t>
  </si>
  <si>
    <t>Выполнение кадастровых работ по межеванию, формированию земельных участков (Закупка товаров, работ и услуг для обеспечения государственных (муниципальных) нужд)</t>
  </si>
  <si>
    <t>04 2 01 20950</t>
  </si>
  <si>
    <t xml:space="preserve">Официальное опубликование правовых актов (Закупка товаров, работ и услуг для обеспечения государственных (муниципальных) нужд)
</t>
  </si>
  <si>
    <t>11 2 01 00040</t>
  </si>
  <si>
    <t>Приобретение элементов экипировки, устройств, обеспечивающих необходимый уровень защиты граждан и охраны общественного порядка на объектах и во время мероприятий с повышенными требованиями к безопасности  (Закупка товаров, работ и услуг для обеспечения государственных (муниципальных) нужд)</t>
  </si>
  <si>
    <t>13 1 01 03000</t>
  </si>
  <si>
    <t>Выплата единовременного денежного вознаграждения гражданам за добровольную сдачу незаконно хранящегося оружия, боеприпасов, взрывчатых веществ,взрывчатых устройств (Социальное обеспечение и иные выплаты населению)</t>
  </si>
  <si>
    <t>13 1 01 01000</t>
  </si>
  <si>
    <t>Проведение мероприятий  по профилактике правонарушений (Закупка товаров, работ и услуг для обеспечения государственных (муниципальных) нужд)</t>
  </si>
  <si>
    <t>13 1 02 02000</t>
  </si>
  <si>
    <t>14 1 01 10010</t>
  </si>
  <si>
    <t>16 1 01 06690</t>
  </si>
  <si>
    <t>Проведение экспертизы ПСД на строительство ФАП  (Закупка товаров, работ и услуг для обеспечения государственных (муниципальных) нужд)</t>
  </si>
  <si>
    <t>16 2 01 40030</t>
  </si>
  <si>
    <t>Улучшение условий и охраны труда в учреждениях и предприятиях Приволжского муниципального района (Закупка товаров, работ и услуг для обеспечения государственных (муниципальных) нужд)</t>
  </si>
  <si>
    <t>18 1 02 41200</t>
  </si>
  <si>
    <t>40 9 00 70100</t>
  </si>
  <si>
    <t>40 9 00 80350</t>
  </si>
  <si>
    <t>41 9 00 90160</t>
  </si>
  <si>
    <t>Подготовка населения и организаций к действиям в чрезвычайной ситуации в мирное и военное время (Закупка товаров, работ и услуг для обеспечения государственных (муниципальных) нужд)</t>
  </si>
  <si>
    <t>0309</t>
  </si>
  <si>
    <t>05 1 01 90010</t>
  </si>
  <si>
    <t>0405</t>
  </si>
  <si>
    <t>Осуществление отдельных государственных полномочий в области обращения с животными в части организации мероприятий при осуществлении деятельности по обращению с животными без владельцев (Закупка товаров, работ и услуг для обеспечения государственных (муниципальных) нужд)</t>
  </si>
  <si>
    <t>06 2 01 80370</t>
  </si>
  <si>
    <t>Проведение мероприятий на территории Приволжского муниципального района  (Закупка товаров, работ и услуг для обеспечения государственных (муниципальных) нужд)</t>
  </si>
  <si>
    <t>10 1 01 10010</t>
  </si>
  <si>
    <t>Расходы связанные с организацией безопасности, содержанием и эксплуатацией гидротехнических сооружений (Иные бюджетные ассигнования)</t>
  </si>
  <si>
    <t>0406</t>
  </si>
  <si>
    <t>05 2 01 90070</t>
  </si>
  <si>
    <t xml:space="preserve">06 2 02 S0540 </t>
  </si>
  <si>
    <t>Государственная экспертиза по определению достоверности сметной стоимости  работ по ремонту автомобильных дорог (Закупка товаров, работ и услуг для обеспечения государственных (муниципальных) нужд)</t>
  </si>
  <si>
    <t>0409</t>
  </si>
  <si>
    <t>15 1 02 22140</t>
  </si>
  <si>
    <t>Строительный контроль (Закупка товаров, работ и услуг для обеспечения государственных (муниципальных) нужд)</t>
  </si>
  <si>
    <t>15 1 02 23000</t>
  </si>
  <si>
    <t>15 1 02 S0510</t>
  </si>
  <si>
    <t>Финансовое обеспечение на организацию дорожной деятельности в отношении автомобильных дорог местного значения в границах населенных пунктов поселений и обеспечение безопасности дорожного движения на них, включая создание и обеспечение функционирования парковок (парковочных мест), осуществление муниципального контроля за сохранностью автомобильных дорог местного значения в границах населенных пунктов поселения,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  (Закупка товаров, работ и услуг для обеспечения государственных (муниципальных) нужд)</t>
  </si>
  <si>
    <t>15 1 01 00400</t>
  </si>
  <si>
    <t>500</t>
  </si>
  <si>
    <t>Финансовое обеспечение на организацию дорожной деятельности в отношении автомобильных дорог местного значения вне границ населенных пунктов в границах муниципального района, осуществление муниципального контроля за сохранностью автомобильных дорог местного значения вне границ населенных пунктов в границах муниципального района и обеспечение безопасности дорожного движения на них,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  (Закупка товаров, работ и услуг для обеспечения государственных (муниципальных) нужд)</t>
  </si>
  <si>
    <t>15 1 01 00450</t>
  </si>
  <si>
    <t>0412</t>
  </si>
  <si>
    <t>40 9 00 01400</t>
  </si>
  <si>
    <t>Финансовое обеспечение на организацию обеспечения проживающих в поселениях и нуждающихся в жилых помещениях малоимущих граждан жилыми помещениями, организацию строительства и содержания муниципального жилищного фонда, создание условий для жилищного строительства, осуществление муниципального жилищного контроля, а также иных полномочий органов местного самоуправления в соответствии с жилищным законодательством  (Закупка товаров, работ и услуг для обеспечения государственных (муниципальных) нужд)</t>
  </si>
  <si>
    <t>0501</t>
  </si>
  <si>
    <t xml:space="preserve">08 1 04 00410 </t>
  </si>
  <si>
    <t>0502</t>
  </si>
  <si>
    <t>08 1 01 28040</t>
  </si>
  <si>
    <t>Финансовое обеспечение на организацию в границах поселений электро-, тепло-, газо- и водоснабжения населения, водоотведения, снабжения населения топливом в пределах полномочий, установленных законодательством РФ, в части нецентрализованных источников водоснабжения (содержание колодцев) (Закупка товаров, работ и услуг для обеспечения государственных (муниципальных) нужд)</t>
  </si>
  <si>
    <t>08 1 03 00440</t>
  </si>
  <si>
    <t>08 1 03 00470</t>
  </si>
  <si>
    <t>Субсидия на реализацию мер по обеспечению экологической безопасности использования, обезвреживания и размещения отходов от объектов жилищного фонда, предприятий и организаций Приволжского муниципального района (Иные бюджетные ассигнования)</t>
  </si>
  <si>
    <t>0503</t>
  </si>
  <si>
    <t>06 1 01 60010</t>
  </si>
  <si>
    <t xml:space="preserve">06 3 01 00430 </t>
  </si>
  <si>
    <t>Субсидия на транспортировку умерших в морг (Иные бюджетные ассигнования)</t>
  </si>
  <si>
    <t>06 3 01 60020</t>
  </si>
  <si>
    <t>Выполнение наказов избирателей (Закупка товаров, работ и услуг для обеспечения государственных (муниципальных) нужд)</t>
  </si>
  <si>
    <t>53 9 00 01990</t>
  </si>
  <si>
    <t>Расходы на обеспечение деятельности (оказание услуг) муниципальных учреждений дополнительного образования (Предоставление субсидий бюджетным, автономным учреждениям и иным некоммерческим организациям)</t>
  </si>
  <si>
    <t>02 1 01 03590</t>
  </si>
  <si>
    <t>02 1 01 81430</t>
  </si>
  <si>
    <t>Доплата к пенсиям муниципальным служащим (Социальное обеспечение и иные выплаты населению)</t>
  </si>
  <si>
    <t>1001</t>
  </si>
  <si>
    <t>11 1 02 70200</t>
  </si>
  <si>
    <t>1003</t>
  </si>
  <si>
    <t>12 1 01 L4970</t>
  </si>
  <si>
    <t>Предоставление субсидий гражданам на оплату первоначального взноса при получении ипотечного жилищного кредита или на погашение основной суммы долга и уплату процентов по ипотечному жилищному кредиту (в том числе рефинансированному). Софинансирование районного бюджета (Социальное обеспечение и иные выплаты населению)</t>
  </si>
  <si>
    <t>12 2 01 70020</t>
  </si>
  <si>
    <t>Мероприятия в области социальной политики. Расходы на оказание финансовой помощи некоммерческим организациям (Предоставление субсидий бюджетным, автономным учреждениям и иным некоммерческим организациям)</t>
  </si>
  <si>
    <t>51 9 00 70030</t>
  </si>
  <si>
    <t>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 (Капитальные вложения в объекты недвижимого имущества государственной (муниципальной) собственности)</t>
  </si>
  <si>
    <t>400</t>
  </si>
  <si>
    <t>Расходы на проведение мероприятий в области массового спорта  (Закупка товаров, работ и услуг для обеспечения государственных (муниципальных) нужд)</t>
  </si>
  <si>
    <t>1102</t>
  </si>
  <si>
    <t>17 1 01 00120</t>
  </si>
  <si>
    <t>ИТОГО</t>
  </si>
  <si>
    <t>Обеспечение функционирования представительного органа муниципального образования (Иные бюджетные ассигнования)</t>
  </si>
  <si>
    <t>Материальное вознаграждение гражданам, награжденным Почетной грамотой (Социальное обеспечение и иные выплаты населению)</t>
  </si>
  <si>
    <t>Обеспечение прочих обязательств администрации (Закупка товаров, работ и услуг для обеспечения государственных (муниципальных) нужд)</t>
  </si>
  <si>
    <t>40 9 00 01900</t>
  </si>
  <si>
    <t>03 1 Е2 50970</t>
  </si>
  <si>
    <t xml:space="preserve">Создание в общеобразовательных организациях, расположенных в сельской местности и малых городах, условий для занятий физической культурой и спортом (Закупка товаров, работ и услуг для обеспечения государственных (муниципальных) нужд) </t>
  </si>
  <si>
    <t>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</si>
  <si>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(Закупка товаров, работ и услуг для обеспечения государственных (муниципальных) нужд)</t>
  </si>
  <si>
    <t>Осуществление полномочий по созданию и организации деятельности комиссий по делам несовершеннолетних и защите их прав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</si>
  <si>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06 1 01 26210</t>
  </si>
  <si>
    <t>Ликвидация несанкционированных свалок (Закупка товаров, работ и услуг для обеспечения государственных (муниципальных) нужд)</t>
  </si>
  <si>
    <t>Текущее содержание инженерной защиты (дамбы, дренажные системы, водоперекачивающие станции) (Иные бюджетные ассигнования)</t>
  </si>
  <si>
    <t>Финансовое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</si>
  <si>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Финансовое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(Закупка товаров, работ и услуг для обеспечения государственных (муниципальных) нужд)</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</si>
  <si>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 (Организация бесплатного горячего питания обучающихся, получающих начальное общее образование в муниципальных образовательных организациях) (Закупка товаров, работ и услуг для обеспечения государственных (муниципальных) нужд)</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</si>
  <si>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(Закупка товаров, работ и услуг для обеспечения государственных (муниципальных) нужд)</t>
  </si>
  <si>
    <t>Актуализация схемы теплоснабжения Приволжского муниципального района (Закупка товаров, работ и услуг для обеспечения государственных (муниципальных) нужд)</t>
  </si>
  <si>
    <t xml:space="preserve">Организация озеленения территорий общего пользования (Закупка товаров, работ и услуг для обеспечения государственных (муниципальных) нужд) </t>
  </si>
  <si>
    <t>06 3 02 26310</t>
  </si>
  <si>
    <t>Проведение мероприятий на территории Приволжского муниципального района (Закупка товаров, работ и услуг для обеспечения государственных (муниципальных) нужд)</t>
  </si>
  <si>
    <t>Организация регулярных перевозок по муниципальным маршрутам (Закупка товаров, работ и услуг для обеспечения государственных (муниципальных) нужд)</t>
  </si>
  <si>
    <t>2024 год</t>
  </si>
  <si>
    <t>36 1 01 03010</t>
  </si>
  <si>
    <t>38 1 01 20980</t>
  </si>
  <si>
    <t>Выполнение мероприятий "Комплексного плана противодействия идеологии терроризма в Российской Федерации на 2019-2023 годы" на территории Приволжского муниципального района (Закупка товаров, работ и услуг для обеспечения государственных (муниципальных) нужд)</t>
  </si>
  <si>
    <t>Организация мероприятий по поддержке одаренных детей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</si>
  <si>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37 1 01 24000</t>
  </si>
  <si>
    <t>02 1 01 S1430</t>
  </si>
  <si>
    <t>Финансовое обеспечение на организацию в границах поселений электро-, тепло-, газо- и водоснабжения населения, водоотведения, снабжения населения топливом в пределах полномочий, установленных законодательством РФ, в части централизованных источников водоснабжения (Закупка товаров, работ и услуг для обеспечения государственных (муниципальных) нужд)</t>
  </si>
  <si>
    <t>Расходы за счет средств от оказания платных услуг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</si>
  <si>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03 1 01 01110</t>
  </si>
  <si>
    <t>Расходы за счет средств от оказания платных услуг (Закупка товаров, работ и услуг для обеспечения государственных (муниципальных) нужд)</t>
  </si>
  <si>
    <t>Расходы за счет средств от оказания платных услуг (Иные бюджетные ассигнования)</t>
  </si>
  <si>
    <t>03 1 02 01111</t>
  </si>
  <si>
    <t>Осуществление переданных государственных полномочий по организации двухразового питания в лагерях дневного пребывания детей-сирот и детей, находящихся в трудной жизненной ситуации (Предоставление субсидий бюджетным, автономным учреждениям и иным некоммерческим организациям)</t>
  </si>
  <si>
    <t>Осуществление отдельных государственных полномочий в сфере административных правонарушений (Закупка товаров, работ и услуг для обеспечения государственных (муниципальных) нужд)</t>
  </si>
  <si>
    <t>Обеспечение прочих обязательств администрации (Иные бюджетные ассигнования)</t>
  </si>
  <si>
    <t>Расходы связанные с поэтапным доведением средней заработной платы педагогическим работникам муниципальных организаций дополнительного образования детей в сфере культуры и искусства до средней заработной платы учителей в Ивановской области (Предоставление субсидий бюджетным, автономным учреждениям и иным некоммерческим организациям)</t>
  </si>
  <si>
    <t>Расходы на поэтапное доведение средней заработной платы педагогическим работникам муниципальных организаций дополнительного образования детей в сфере культуры и искусства до средней заработной платы учителей в Ивановской области  (Предоставление субсидий бюджетным, автономным учреждениям и иным некоммерческим организациям)</t>
  </si>
  <si>
    <t>Предоставление социальных выплат молодым семьям на приобретение (строительство) жилого помещения (Социальное обеспечение и иные выплаты населению)</t>
  </si>
  <si>
    <t>49 9 00 R0820</t>
  </si>
  <si>
    <t>Проектирование строительства (реконструкции), капитального ремонта, строительство (реконструкцию), капитальный ремонт, ремонт и содержание автомобильных дорог общего пользования местного значения, в том числе на формирование муниципальных дорожных фондов (Закупка товаров, работ и услуг для обеспечения государственных (муниципальных) нужд)</t>
  </si>
  <si>
    <t>Средства на оплату членских взносов Совета муниципальных образований (Иные бюджетные ассигнования)</t>
  </si>
  <si>
    <t>Проведение кадастровых работ в отношении неиспользуемых земель из состава земель сельскохозяйственного назначения (Закупка товаров, работ и услуг для обеспечения государственных (муниципальных) нужд)</t>
  </si>
  <si>
    <t>04 2 01 S7000</t>
  </si>
  <si>
    <t>Расходы по организации отдыха детей в каникулярное время в части организации двухразового питания в лагерях дневного пребывания  (Закупка товаров, работ и услуг для обеспечения государственных (муниципальных) нужд)</t>
  </si>
  <si>
    <t xml:space="preserve">0702 </t>
  </si>
  <si>
    <t>Расходы на проведение мероприятий для детей и молодежи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</si>
  <si>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связанные с поэтапным доведением средней заработной платы педагогическим работникам иных муниципальных организаций дополнительного образования детей  до средней заработной платы учителей в Ивановской области (Предоставление субсидий бюджетным, автономным учреждениям и иным некоммерческим организациям)</t>
  </si>
  <si>
    <t>Расходы, связанные с поэтапным доведением средней заработной платы педагогическим работникам муниципальных организаций дополнительного образования детей в сфере физической культуры и спорта до средней заработной платы учителей в Ивановской области (Предоставление субсидий бюджетным, автономным учреждениям и иным некоммерческим организациям)</t>
  </si>
  <si>
    <t>Расходы на  поэтапное доведение средней заработной платы педагогическим работникам иных муниципальных организаций дополнительного образования детей  до средней заработной платы учителей в Ивановской области (Предоставление субсидий бюджетным, автономным учреждениям и иным некоммерческим организациям)</t>
  </si>
  <si>
    <t>Расходы  на поэтапное доведение средней заработной платы педагогическим работникам муниципальных организаций дополнительного образования детей в сфере физической культуры и спорта до средней заработной платы учителей в Ивановской области (Предоставление субсидий бюджетным, автономным учреждениям и иным некоммерческим организациям)</t>
  </si>
  <si>
    <t>Расходы на реализацию спортивной подготовки в учреждениях дополнительного образования (Предоставление субсидий бюджетным, автономным учреждениям и иным некоммерческим организациям)</t>
  </si>
  <si>
    <t>03 1 03 03580</t>
  </si>
  <si>
    <t>Обеспечение функционирования модели персонифицированного финансирования дополнительного образования детей (Предоставление субсидий бюджетным, автономным учреждениям и иным некоммерческим организациям)</t>
  </si>
  <si>
    <t>Обеспечение функционирования модели персонифицированного финансирования дополнительного образования детей (Иные бюджетные ассигнования)</t>
  </si>
  <si>
    <t>15 1 02 S8600</t>
  </si>
  <si>
    <t>Финансовое обеспечение дорожной деятельности на автомобильных дорогах общего пользования местного значения (Закупка товаров, работ и услуг для обеспечения государственных (муниципальных) нужд)</t>
  </si>
  <si>
    <t>Ведомственная структура расходов бюджета Приволжского муниципального района на 2023 год и на плановый период 2024 и 2025 годов</t>
  </si>
  <si>
    <t>2025 год</t>
  </si>
  <si>
    <t>17 1 01 60060</t>
  </si>
  <si>
    <t>Возмещение недополученных доходов и (или) финансовое обеспечение (возмещение) затрат в связи с производством (реализацией) товаров, выполнением работ, оказанием услуг (Иные бюджетные ассигнования)</t>
  </si>
  <si>
    <t>38 2 01 20960</t>
  </si>
  <si>
    <t>38 3 01 21980</t>
  </si>
  <si>
    <t>Работы по подготовке документации по установлению границ населенных пунктов (Закупка товаров, работ и услуг для обеспечения государственных (муниципальных) нужд)</t>
  </si>
  <si>
    <t>Разработка проектов планировки и (или) проектов межевания территорий (Закупка товаров, работ и услуг для обеспечения государственных (муниципальных) нужд)</t>
  </si>
  <si>
    <t>Работы по подготовке документации по установлению границ территориальных зон (Закупка товаров, работ и услуг для обеспечения государственных (муниципальных) нужд)</t>
  </si>
  <si>
    <t>03 1 04 80090</t>
  </si>
  <si>
    <t>Осуществление переданных органам местного самоуправления государственных полномочий Ивановской области по присмотру и уходу за детьми-сиротами и детьми, оставшимися без попечения родителей, детьми-инвалидами в дошкольных группах муниципальных общеобразовательных организаций(Закупка товаров, работ и услуг для обеспечения государственных (муниципальных) нужд)</t>
  </si>
  <si>
    <t>41 9 00 L5990</t>
  </si>
  <si>
    <t>0408</t>
  </si>
  <si>
    <t>Финансовое обеспечение на организацию дорожной деятельности в отношении автомобильных дорог местного значения в границах населенных пунктов поселений и обеспечение безопасности дорожного движения на них, включая создание и обеспечение функционирования парковок (парковочных мест), осуществление муниципального контроля за сохранностью автомобильных дорог местного значения в границах населенных пунктов поселения,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  (Межбюджетные трансферты)</t>
  </si>
  <si>
    <t>Финансовое обеспечение на организацию дорожной деятельности в отношении автомобильных дорог местного значения вне границ населенных пунктов в границах муниципального района, осуществление муниципального контроля за сохранностью автомобильных дорог местного значения вне границ населенных пунктов в границах муниципального района и обеспечение безопасности дорожного движения на них,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  (Межбюджетные трансферты)</t>
  </si>
  <si>
    <t>Финансовое обеспечение на организацию в границах поселений электро-, тепло-, газо- и водоснабжения населения, водоотведения, снабжения населения топливом в пределах полномочий, установленных законодательством РФ, в части нецентрализованных источников водоснабжения (содержание колодцев) (Межбюджетные трансферты)</t>
  </si>
  <si>
    <t>Финансовое обеспечение на организацию в границах поселений электро-, тепло-, газо- и водоснабжения населения, водоотведения, снабжения населения топливом в пределах полномочий, установленных законодательством РФ, в части централизованных источников водоснабжения (Межбюджетные трансферты)</t>
  </si>
  <si>
    <t>Финансовое обеспечение на  организацию ритуальных услуг и содержание мест захоронения (Межбюджетные трансферты)</t>
  </si>
  <si>
    <t>Финансовое обеспечение на  организацию ритуальных услуг и содержание мест захоронения (Закупка товаров, работ и услуг для обеспечения государственных (муниципальных) нужд)</t>
  </si>
  <si>
    <t>03 1 02 89700</t>
  </si>
  <si>
    <t>Подготовка проектов межевания земельных участков и на проведение кадастровых работ (Закупка товаров, работ и услуг для обеспечения государственных (муниципальных) нужд)</t>
  </si>
  <si>
    <t>Осуществление переданных органам местного самоуправления государственных полномочий Ивановской области по предоставлению бесплатного горячего питания обучающимся, получающим основное общее и среднее общее образование в муниципальных образовательных организациях, из числа детей граждан, принимающих участие (принимавших участие, в том числе погибших (умерших)) в специальной военной операции, проводимой с 24 февраля 2022 года, из числа военнослужащих и сотрудников федеральных органов исполнительной власти и федеральных государственных органов, в которых федеральным законом предусмотрена военная служба, сотрудников органов внутренних дел Российской Федерации, граждан Российской Федерации, заключивших контракт о добровольном содействии в выполнении задач, возложенных на Вооруженные Силы Российской Федерации, сотрудников уголовно-исполнительной системы Российской Федерации, выполняющих (выполнявших) возложенные на них задачи в период проведения специальной военной операции, а также граждан, призванных на военную службу по мобилизации в Вооруженные Силы Российской Федерации  (Закупка товаров, работ и услуг для обеспечения государственных (муниципальных) нужд)</t>
  </si>
  <si>
    <t>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(Ежемесячное денежное вознаграждение за классное руководство педагогическим работникам муниципальных общеобразовательных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</si>
  <si>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 xml:space="preserve">Приложение 5
 к решению Совета Приволжского 
муниципального района от 22.12.2022 № 90                                                         
  «О бюджете Приволжского муниципального района  
на 2023 год и плановый период 2024 и 2025 годов»  
</t>
  </si>
  <si>
    <t>Выполнение наказов избирателей  (Межбюджетные трансферты)</t>
  </si>
  <si>
    <t>Мероприятия в области коммунальной инфраструктуры (Закупка товаров, работ и услуг для обеспечения государственных (муниципальных) нужд)</t>
  </si>
  <si>
    <t>16 2 02 26000</t>
  </si>
  <si>
    <t>03 1 01 S3500</t>
  </si>
  <si>
    <t>Реализация мероприятий по капитальному ремонту объектов образования (Закупка товаров, работ и услуг для государственных (муниципальных) нужд)</t>
  </si>
  <si>
    <t xml:space="preserve">Исполнение обязательств по исполнительным листам (Иные бюджетные ассигнования) </t>
  </si>
  <si>
    <t>40 9 00 27770</t>
  </si>
  <si>
    <t>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(Ежемесячное денежное вознаграждение за классное руководство педагогическим работникам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</si>
  <si>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03 1 02 R3031</t>
  </si>
  <si>
    <t>03 1 Е2 50981</t>
  </si>
  <si>
    <t>Обновление материально-технической базы для организации учебно-исследовательской, научно-практической, творческой деятельности, занятий физической культурой и спортом в образовательных организациях (Создание в общеобразовательных организациях, расположенных в сельской местности и малых городах, условий для занятий физической культурой и спортом) (Закупка товаров, работ и услуг для обеспечения государственных (муниципальных) нужд)</t>
  </si>
  <si>
    <t>Субсидия бюджетам поселений Приволжского муниципального района в целях софинансирования расходных обязательств, возникающих при выполнении полномочий органов местного самоуправления поселений по вопросам местного значения поселений (Межбюджетные трансферты)</t>
  </si>
  <si>
    <t>41 9 00 60500</t>
  </si>
  <si>
    <t>15 1 02 S6500</t>
  </si>
  <si>
    <t>03 1 E2 51710</t>
  </si>
  <si>
    <t>Оснащение (обновление материально-технической базы) оборудованием, средствами обучения и воспитания образовательных организаций различных типов для реализации дополнительных общеразвивающих программ, для создания информационных систем в образовательных организациях  (Предоставление субсидий бюджетным, автономным учреждениям и иным некоммерческим организациям)</t>
  </si>
  <si>
    <t>15 1 02 S9100</t>
  </si>
  <si>
    <t>Строительство (реконструкция), капитальный ремонт и ремонт автомобильных дорог общего пользования местного значения (Закупка товаров, работ и услуг для обеспечения государственных (муниципальных) нужд)</t>
  </si>
  <si>
    <t>03 1 EВ 51792</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</si>
  <si>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(Проведение мероприятий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</si>
  <si>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03 1 01 S8900</t>
  </si>
  <si>
    <t>Капитальный ремонт объектов дошкольного образования в рамках реализации социально значимого проекта "Создание безопасных условий пребывания в дошкольных образовательных организациях, дошкольных группах в муниципальных общеобразовательных организациях" (Закупка товаров, работ и услуг для государственных (муниципальных) нужд)</t>
  </si>
  <si>
    <t>10 2 01 L5763</t>
  </si>
  <si>
    <t>Обеспечение комплексного развития сельских территорий (Реализация мероприятий по благоустройству сельских территорий) (Закупка товаров, работ и услуг для обеспечения государственных (муниципальных) нужд)</t>
  </si>
  <si>
    <t>08 1 03 28050</t>
  </si>
  <si>
    <t>Актуализация схемы водоснабжения и водоотведения Приволжского муниципального района (Закупка товаров, работ и услуг для обеспечения государственных (муниципальных) нужд)</t>
  </si>
  <si>
    <t>Государственная экспертиза по определению достоверности сметной стоимости работ (Закупка товаров, работ и услуг для обеспечения государственных (муниципальных) нужд)</t>
  </si>
  <si>
    <t>10 2 01 26610</t>
  </si>
  <si>
    <t>38 1 01 S3020</t>
  </si>
  <si>
    <t>Подготовка проектов внесения изменений в документы территориального планирования, правила землепользования и застройки (Закупка товаров, работ и услуг для обеспечения государственных (муниципальных) нужд)</t>
  </si>
  <si>
    <t>15 1 02 23010</t>
  </si>
  <si>
    <t>Прочие мероприятия в области дорожного хозяйства (Закупка товаров, работ и услуг для обеспечения государственных (муниципальных) нужд)</t>
  </si>
  <si>
    <t>03 1 01 S1950</t>
  </si>
  <si>
    <t>Укрепление материально-технической базы муниципальных образовательных организаций Ивановской области (Закупка товаров, работ и услуг для обеспечения государственных (муниципальных) нужд)</t>
  </si>
  <si>
    <t>10 2 01 23000</t>
  </si>
  <si>
    <t>03 1 01 81010</t>
  </si>
  <si>
    <t>Возмещение расходов, связанных с уменьшением размера родительской платы за присмотр и уход в муниципальных образовательных организациях, реализующих образовательную программу дошкольного образования, за детьми, пасынками и падчерицами граждан, принимающих участие (принимавших участие, в том числе погибших (умерших)) в специальной военной операции, проводимой с 24 февраля 2022 года, из числа военнослужащих и сотрудников федеральных органов исполнительной власти и федеральных государственных органов, в которых федеральным законом предусмотрена военная служба, сотрудников органов внутренних дел Российской Федерации, граждан Российской Федерации, заключивших после 21 сентября 2022 года контракт в соответствии с пунктом 7 статьи 38 Федерального закона от 28.03.1998 N 53-ФЗ "О воинской обязанности и военной службе" или заключивших контракт о добровольном содействии в выполнении задач, возложенных на Вооруженные Силы Российской Федерации, сотрудников уголовно-исполнительной системы Российской Федерации, выполняющих (выполнявших) возложенные на них задачи в период проведения специальной военной операции, а также граждан, призванных на военную службу по мобилизации в Вооруженные Силы Российской Федерации (Закупка товаров, работ и услуг для обеспечения государственных (муниципальных) нужд)</t>
  </si>
  <si>
    <t>(в редакции решения Совета от 27.04.2023 № 27)</t>
  </si>
</sst>
</file>

<file path=xl/styles.xml><?xml version="1.0" encoding="utf-8"?>
<styleSheet xmlns="http://schemas.openxmlformats.org/spreadsheetml/2006/main" xmlns:mc="http://schemas.openxmlformats.org/markup-compatibility/2006" xmlns:x14ac="http://schemas.microsoft.com/office/spreadsheetml/2009/9/ac" mc:Ignorable="x14ac">
  <fonts count="14" x14ac:knownFonts="1">
    <font>
      <sz val="11"/>
      <color theme="1"/>
      <name val="Calibri"/>
      <family val="2"/>
      <charset val="204"/>
      <scheme val="minor"/>
    </font>
    <font>
      <sz val="14"/>
      <name val="Arial"/>
      <family val="2"/>
      <charset val="204"/>
    </font>
    <font>
      <sz val="12"/>
      <name val="Times New Roman"/>
      <family val="1"/>
      <charset val="204"/>
    </font>
    <font>
      <b/>
      <sz val="14"/>
      <name val="Times New Roman"/>
      <family val="1"/>
      <charset val="204"/>
    </font>
    <font>
      <sz val="10"/>
      <name val="Arial"/>
      <family val="2"/>
      <charset val="204"/>
    </font>
    <font>
      <sz val="10"/>
      <name val="Arial"/>
      <family val="2"/>
      <charset val="204"/>
    </font>
    <font>
      <sz val="10"/>
      <color rgb="FF000000"/>
      <name val="Arial Cyr"/>
    </font>
    <font>
      <sz val="11"/>
      <color rgb="FFFF0000"/>
      <name val="Calibri"/>
      <family val="2"/>
      <charset val="204"/>
      <scheme val="minor"/>
    </font>
    <font>
      <b/>
      <sz val="12"/>
      <name val="Times New Roman"/>
      <family val="1"/>
      <charset val="204"/>
    </font>
    <font>
      <sz val="11"/>
      <color theme="0"/>
      <name val="Calibri"/>
      <family val="2"/>
      <charset val="204"/>
      <scheme val="minor"/>
    </font>
    <font>
      <sz val="14"/>
      <color theme="0"/>
      <name val="Calibri"/>
      <family val="2"/>
      <charset val="204"/>
      <scheme val="minor"/>
    </font>
    <font>
      <b/>
      <sz val="10"/>
      <name val="Times New Roman"/>
      <family val="1"/>
      <charset val="204"/>
    </font>
    <font>
      <sz val="12"/>
      <color indexed="8"/>
      <name val="Times New Roman"/>
      <family val="1"/>
      <charset val="204"/>
    </font>
    <font>
      <sz val="12"/>
      <color theme="1"/>
      <name val="Calibri"/>
      <family val="2"/>
      <charset val="204"/>
      <scheme val="minor"/>
    </font>
  </fonts>
  <fills count="2">
    <fill>
      <patternFill patternType="none"/>
    </fill>
    <fill>
      <patternFill patternType="gray125"/>
    </fill>
  </fills>
  <borders count="9">
    <border>
      <left/>
      <right/>
      <top/>
      <bottom/>
      <diagonal/>
    </border>
    <border>
      <left/>
      <right style="thin">
        <color indexed="64"/>
      </right>
      <top/>
      <bottom/>
      <diagonal/>
    </border>
    <border>
      <left/>
      <right/>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s>
  <cellStyleXfs count="4">
    <xf numFmtId="0" fontId="0" fillId="0" borderId="0"/>
    <xf numFmtId="0" fontId="4" fillId="0" borderId="0"/>
    <xf numFmtId="0" fontId="5" fillId="0" borderId="0"/>
    <xf numFmtId="0" fontId="6" fillId="0" borderId="0">
      <alignment horizontal="left" wrapText="1"/>
    </xf>
  </cellStyleXfs>
  <cellXfs count="62">
    <xf numFmtId="0" fontId="0" fillId="0" borderId="0" xfId="0"/>
    <xf numFmtId="0" fontId="0" fillId="0" borderId="0" xfId="0" applyBorder="1"/>
    <xf numFmtId="0" fontId="7" fillId="0" borderId="0" xfId="0" applyFont="1"/>
    <xf numFmtId="4" fontId="10" fillId="0" borderId="0" xfId="0" applyNumberFormat="1" applyFont="1"/>
    <xf numFmtId="4" fontId="9" fillId="0" borderId="0" xfId="0" applyNumberFormat="1" applyFont="1"/>
    <xf numFmtId="4" fontId="0" fillId="0" borderId="0" xfId="0" applyNumberFormat="1"/>
    <xf numFmtId="4" fontId="2" fillId="0" borderId="5" xfId="0" applyNumberFormat="1" applyFont="1" applyFill="1" applyBorder="1" applyAlignment="1">
      <alignment horizontal="right"/>
    </xf>
    <xf numFmtId="49" fontId="2" fillId="0" borderId="6" xfId="0" applyNumberFormat="1" applyFont="1" applyFill="1" applyBorder="1" applyAlignment="1">
      <alignment horizontal="right"/>
    </xf>
    <xf numFmtId="49" fontId="2" fillId="0" borderId="5" xfId="0" applyNumberFormat="1" applyFont="1" applyFill="1" applyBorder="1" applyAlignment="1">
      <alignment horizontal="right"/>
    </xf>
    <xf numFmtId="49" fontId="2" fillId="0" borderId="3" xfId="0" applyNumberFormat="1" applyFont="1" applyFill="1" applyBorder="1" applyAlignment="1">
      <alignment horizontal="right"/>
    </xf>
    <xf numFmtId="4" fontId="2" fillId="0" borderId="3" xfId="0" applyNumberFormat="1" applyFont="1" applyFill="1" applyBorder="1" applyAlignment="1">
      <alignment horizontal="right"/>
    </xf>
    <xf numFmtId="49" fontId="12" fillId="0" borderId="6" xfId="0" applyNumberFormat="1" applyFont="1" applyFill="1" applyBorder="1" applyAlignment="1">
      <alignment horizontal="right"/>
    </xf>
    <xf numFmtId="49" fontId="12" fillId="0" borderId="5" xfId="0" applyNumberFormat="1" applyFont="1" applyFill="1" applyBorder="1" applyAlignment="1">
      <alignment horizontal="right"/>
    </xf>
    <xf numFmtId="0" fontId="2" fillId="0" borderId="3" xfId="0" applyFont="1" applyFill="1" applyBorder="1" applyAlignment="1">
      <alignment horizontal="right"/>
    </xf>
    <xf numFmtId="0" fontId="2" fillId="0" borderId="5" xfId="0" applyFont="1" applyFill="1" applyBorder="1" applyAlignment="1">
      <alignment horizontal="right"/>
    </xf>
    <xf numFmtId="0" fontId="2" fillId="0" borderId="6" xfId="0" applyFont="1" applyFill="1" applyBorder="1" applyAlignment="1">
      <alignment horizontal="right"/>
    </xf>
    <xf numFmtId="4" fontId="2" fillId="0" borderId="6" xfId="0" applyNumberFormat="1" applyFont="1" applyFill="1" applyBorder="1" applyAlignment="1">
      <alignment horizontal="right"/>
    </xf>
    <xf numFmtId="0" fontId="2" fillId="0" borderId="0" xfId="0" applyFont="1" applyFill="1" applyAlignment="1">
      <alignment horizontal="right"/>
    </xf>
    <xf numFmtId="4" fontId="2" fillId="0" borderId="5" xfId="0" applyNumberFormat="1" applyFont="1" applyFill="1" applyBorder="1" applyAlignment="1">
      <alignment horizontal="right" wrapText="1"/>
    </xf>
    <xf numFmtId="49" fontId="2" fillId="0" borderId="5" xfId="0" applyNumberFormat="1" applyFont="1" applyFill="1" applyBorder="1" applyAlignment="1">
      <alignment horizontal="right" wrapText="1"/>
    </xf>
    <xf numFmtId="49" fontId="2" fillId="0" borderId="6" xfId="0" applyNumberFormat="1" applyFont="1" applyFill="1" applyBorder="1" applyAlignment="1">
      <alignment horizontal="right" wrapText="1"/>
    </xf>
    <xf numFmtId="4" fontId="2" fillId="0" borderId="6" xfId="0" applyNumberFormat="1" applyFont="1" applyFill="1" applyBorder="1" applyAlignment="1">
      <alignment horizontal="right" wrapText="1"/>
    </xf>
    <xf numFmtId="49" fontId="2" fillId="0" borderId="8" xfId="0" applyNumberFormat="1" applyFont="1" applyFill="1" applyBorder="1" applyAlignment="1">
      <alignment horizontal="right" wrapText="1"/>
    </xf>
    <xf numFmtId="0" fontId="2" fillId="0" borderId="6" xfId="0" applyFont="1" applyFill="1" applyBorder="1" applyAlignment="1">
      <alignment horizontal="left" vertical="center" wrapText="1"/>
    </xf>
    <xf numFmtId="0" fontId="2" fillId="0" borderId="5" xfId="0" applyFont="1" applyFill="1" applyBorder="1" applyAlignment="1">
      <alignment horizontal="left" vertical="center" wrapText="1"/>
    </xf>
    <xf numFmtId="0" fontId="2" fillId="0" borderId="5" xfId="1" applyFont="1" applyFill="1" applyBorder="1" applyAlignment="1">
      <alignment horizontal="left" vertical="center" wrapText="1"/>
    </xf>
    <xf numFmtId="0" fontId="2" fillId="0" borderId="6" xfId="1" applyFont="1" applyFill="1" applyBorder="1" applyAlignment="1">
      <alignment horizontal="left" vertical="center" wrapText="1"/>
    </xf>
    <xf numFmtId="0" fontId="2" fillId="0" borderId="3" xfId="1" applyFont="1" applyFill="1" applyBorder="1" applyAlignment="1">
      <alignment horizontal="left" vertical="center" wrapText="1"/>
    </xf>
    <xf numFmtId="0" fontId="2" fillId="0" borderId="3" xfId="0" applyFont="1" applyFill="1" applyBorder="1" applyAlignment="1">
      <alignment horizontal="left" vertical="center" wrapText="1"/>
    </xf>
    <xf numFmtId="0" fontId="12" fillId="0" borderId="6" xfId="0" applyFont="1" applyFill="1" applyBorder="1" applyAlignment="1">
      <alignment horizontal="left" vertical="center" wrapText="1"/>
    </xf>
    <xf numFmtId="0" fontId="12" fillId="0" borderId="5" xfId="0" applyFont="1" applyFill="1" applyBorder="1" applyAlignment="1">
      <alignment horizontal="left" vertical="center" wrapText="1"/>
    </xf>
    <xf numFmtId="0" fontId="2" fillId="0" borderId="7" xfId="0" applyFont="1" applyFill="1" applyBorder="1" applyAlignment="1">
      <alignment horizontal="left" vertical="center" wrapText="1"/>
    </xf>
    <xf numFmtId="0" fontId="2" fillId="0" borderId="2" xfId="0" applyFont="1" applyFill="1" applyBorder="1" applyAlignment="1">
      <alignment horizontal="left" vertical="center" wrapText="1"/>
    </xf>
    <xf numFmtId="0" fontId="2" fillId="0" borderId="0" xfId="0" applyFont="1" applyFill="1" applyAlignment="1">
      <alignment horizontal="left" vertical="center" wrapText="1"/>
    </xf>
    <xf numFmtId="0" fontId="2" fillId="0" borderId="5" xfId="0" applyFont="1" applyFill="1" applyBorder="1" applyAlignment="1">
      <alignment horizontal="left" vertical="top" wrapText="1"/>
    </xf>
    <xf numFmtId="49" fontId="2" fillId="0" borderId="8" xfId="0" applyNumberFormat="1" applyFont="1" applyFill="1" applyBorder="1" applyAlignment="1">
      <alignment horizontal="right"/>
    </xf>
    <xf numFmtId="4" fontId="2" fillId="0" borderId="8" xfId="0" applyNumberFormat="1" applyFont="1" applyFill="1" applyBorder="1" applyAlignment="1">
      <alignment horizontal="right" wrapText="1"/>
    </xf>
    <xf numFmtId="49" fontId="2" fillId="0" borderId="3" xfId="0" applyNumberFormat="1" applyFont="1" applyFill="1" applyBorder="1" applyAlignment="1">
      <alignment horizontal="right" wrapText="1"/>
    </xf>
    <xf numFmtId="4" fontId="2" fillId="0" borderId="3" xfId="0" applyNumberFormat="1" applyFont="1" applyFill="1" applyBorder="1" applyAlignment="1">
      <alignment horizontal="right" wrapText="1"/>
    </xf>
    <xf numFmtId="0" fontId="1" fillId="0" borderId="0" xfId="0" applyFont="1" applyFill="1" applyAlignment="1">
      <alignment horizontal="justify" vertical="top" wrapText="1"/>
    </xf>
    <xf numFmtId="0" fontId="1" fillId="0" borderId="0" xfId="0" applyFont="1" applyFill="1"/>
    <xf numFmtId="0" fontId="1" fillId="0" borderId="0" xfId="0" applyFont="1" applyFill="1" applyAlignment="1">
      <alignment horizontal="right"/>
    </xf>
    <xf numFmtId="0" fontId="2" fillId="0" borderId="0" xfId="0" applyFont="1" applyFill="1" applyAlignment="1">
      <alignment horizontal="right" vertical="top" wrapText="1"/>
    </xf>
    <xf numFmtId="0" fontId="2" fillId="0" borderId="0" xfId="0" applyFont="1" applyFill="1" applyAlignment="1">
      <alignment horizontal="right" vertical="top"/>
    </xf>
    <xf numFmtId="0" fontId="3" fillId="0" borderId="0" xfId="0" applyFont="1" applyFill="1" applyBorder="1" applyAlignment="1">
      <alignment horizontal="center" wrapText="1"/>
    </xf>
    <xf numFmtId="0" fontId="1" fillId="0" borderId="0" xfId="0" applyFont="1" applyFill="1" applyBorder="1" applyAlignment="1">
      <alignment wrapText="1"/>
    </xf>
    <xf numFmtId="0" fontId="2" fillId="0" borderId="0" xfId="0" applyFont="1" applyFill="1" applyBorder="1" applyAlignment="1">
      <alignment horizontal="center" wrapText="1"/>
    </xf>
    <xf numFmtId="0" fontId="13" fillId="0" borderId="0" xfId="0" applyFont="1" applyFill="1" applyAlignment="1">
      <alignment wrapText="1"/>
    </xf>
    <xf numFmtId="0" fontId="3" fillId="0" borderId="2" xfId="0" applyFont="1" applyFill="1" applyBorder="1" applyAlignment="1">
      <alignment horizontal="center" vertical="top" wrapText="1"/>
    </xf>
    <xf numFmtId="0" fontId="3" fillId="0" borderId="2" xfId="0" applyFont="1" applyFill="1" applyBorder="1" applyAlignment="1">
      <alignment horizontal="center" vertical="center" wrapText="1"/>
    </xf>
    <xf numFmtId="0" fontId="11" fillId="0" borderId="2" xfId="0" applyFont="1" applyFill="1" applyBorder="1" applyAlignment="1">
      <alignment horizontal="right" wrapText="1"/>
    </xf>
    <xf numFmtId="0" fontId="8" fillId="0" borderId="3"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8" fillId="0" borderId="5" xfId="0" applyFont="1" applyFill="1" applyBorder="1" applyAlignment="1">
      <alignment horizontal="left" vertical="center" wrapText="1"/>
    </xf>
    <xf numFmtId="49" fontId="8" fillId="0" borderId="5" xfId="0" applyNumberFormat="1" applyFont="1" applyFill="1" applyBorder="1" applyAlignment="1">
      <alignment horizontal="right"/>
    </xf>
    <xf numFmtId="4" fontId="8" fillId="0" borderId="5" xfId="0" applyNumberFormat="1" applyFont="1" applyFill="1" applyBorder="1" applyAlignment="1">
      <alignment horizontal="right"/>
    </xf>
    <xf numFmtId="0" fontId="2" fillId="0" borderId="6" xfId="0" applyFont="1" applyFill="1" applyBorder="1" applyAlignment="1">
      <alignment horizontal="justify" vertical="top" wrapText="1"/>
    </xf>
    <xf numFmtId="4" fontId="12" fillId="0" borderId="6" xfId="0" applyNumberFormat="1" applyFont="1" applyFill="1" applyBorder="1" applyAlignment="1">
      <alignment horizontal="right"/>
    </xf>
    <xf numFmtId="49" fontId="8" fillId="0" borderId="5" xfId="0" applyNumberFormat="1" applyFont="1" applyFill="1" applyBorder="1" applyAlignment="1">
      <alignment horizontal="right" wrapText="1"/>
    </xf>
    <xf numFmtId="4" fontId="8" fillId="0" borderId="5" xfId="0" applyNumberFormat="1" applyFont="1" applyFill="1" applyBorder="1" applyAlignment="1">
      <alignment horizontal="right" wrapText="1"/>
    </xf>
    <xf numFmtId="0" fontId="8" fillId="0" borderId="5" xfId="0" applyFont="1" applyFill="1" applyBorder="1" applyAlignment="1">
      <alignment horizontal="justify" vertical="top" wrapText="1"/>
    </xf>
  </cellXfs>
  <cellStyles count="4">
    <cellStyle name="xl30" xfId="3"/>
    <cellStyle name="Обычный" xfId="0" builtinId="0"/>
    <cellStyle name="Обычный 2" xfId="1"/>
    <cellStyle name="Обычный 3" xfId="2"/>
  </cellStyles>
  <dxfs count="0"/>
  <tableStyles count="0" defaultTableStyle="TableStyleMedium2" defaultPivotStyle="PivotStyleLight16"/>
  <colors>
    <mruColors>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177"/>
  <sheetViews>
    <sheetView tabSelected="1" zoomScale="80" zoomScaleNormal="80" workbookViewId="0">
      <selection activeCell="D10" sqref="D10"/>
    </sheetView>
  </sheetViews>
  <sheetFormatPr defaultColWidth="91" defaultRowHeight="15" x14ac:dyDescent="0.25"/>
  <cols>
    <col min="1" max="1" width="82.7109375" customWidth="1"/>
    <col min="2" max="2" width="9.140625" customWidth="1"/>
    <col min="3" max="3" width="13.85546875" customWidth="1"/>
    <col min="4" max="4" width="17.85546875" customWidth="1"/>
    <col min="5" max="5" width="10.140625" customWidth="1"/>
    <col min="6" max="6" width="19.42578125" customWidth="1"/>
    <col min="7" max="8" width="20.28515625" customWidth="1"/>
    <col min="9" max="9" width="8.140625" customWidth="1"/>
    <col min="10" max="10" width="14.42578125" customWidth="1"/>
    <col min="11" max="11" width="16.5703125" customWidth="1"/>
  </cols>
  <sheetData>
    <row r="1" spans="1:14" ht="84.75" customHeight="1" x14ac:dyDescent="0.25">
      <c r="A1" s="39"/>
      <c r="B1" s="40"/>
      <c r="C1" s="40"/>
      <c r="D1" s="41"/>
      <c r="E1" s="40"/>
      <c r="F1" s="42" t="s">
        <v>275</v>
      </c>
      <c r="G1" s="43"/>
      <c r="H1" s="43"/>
    </row>
    <row r="2" spans="1:14" ht="36" customHeight="1" x14ac:dyDescent="0.3">
      <c r="A2" s="44" t="s">
        <v>252</v>
      </c>
      <c r="B2" s="45"/>
      <c r="C2" s="45"/>
      <c r="D2" s="45"/>
      <c r="E2" s="45"/>
      <c r="F2" s="45"/>
      <c r="G2" s="45"/>
      <c r="H2" s="45"/>
    </row>
    <row r="3" spans="1:14" ht="24" customHeight="1" x14ac:dyDescent="0.25">
      <c r="A3" s="46" t="s">
        <v>313</v>
      </c>
      <c r="B3" s="47"/>
      <c r="C3" s="47"/>
      <c r="D3" s="47"/>
      <c r="E3" s="47"/>
      <c r="F3" s="47"/>
      <c r="G3" s="47"/>
      <c r="H3" s="47"/>
    </row>
    <row r="4" spans="1:14" ht="19.5" x14ac:dyDescent="0.25">
      <c r="A4" s="48"/>
      <c r="B4" s="49"/>
      <c r="C4" s="49"/>
      <c r="D4" s="49"/>
      <c r="E4" s="49"/>
      <c r="F4" s="49"/>
      <c r="G4" s="50" t="s">
        <v>0</v>
      </c>
      <c r="H4" s="50"/>
      <c r="I4" s="1"/>
    </row>
    <row r="5" spans="1:14" ht="31.5" x14ac:dyDescent="0.25">
      <c r="A5" s="51" t="s">
        <v>1</v>
      </c>
      <c r="B5" s="51" t="s">
        <v>2</v>
      </c>
      <c r="C5" s="51" t="s">
        <v>3</v>
      </c>
      <c r="D5" s="51" t="s">
        <v>4</v>
      </c>
      <c r="E5" s="51" t="s">
        <v>5</v>
      </c>
      <c r="F5" s="52" t="s">
        <v>6</v>
      </c>
      <c r="G5" s="53" t="s">
        <v>215</v>
      </c>
      <c r="H5" s="53" t="s">
        <v>253</v>
      </c>
    </row>
    <row r="6" spans="1:14" ht="31.5" x14ac:dyDescent="0.25">
      <c r="A6" s="54" t="s">
        <v>7</v>
      </c>
      <c r="B6" s="55" t="s">
        <v>8</v>
      </c>
      <c r="C6" s="55"/>
      <c r="D6" s="55"/>
      <c r="E6" s="55"/>
      <c r="F6" s="56">
        <f>SUM(F7:F75)</f>
        <v>378996559.45999998</v>
      </c>
      <c r="G6" s="56">
        <f>SUM(G7:G75)</f>
        <v>299288203.50999987</v>
      </c>
      <c r="H6" s="56">
        <f>SUM(H7:H75)</f>
        <v>296114114.54999995</v>
      </c>
      <c r="L6" s="5"/>
      <c r="M6" s="5"/>
      <c r="N6" s="5"/>
    </row>
    <row r="7" spans="1:14" ht="63" x14ac:dyDescent="0.25">
      <c r="A7" s="23" t="s">
        <v>223</v>
      </c>
      <c r="B7" s="7" t="s">
        <v>8</v>
      </c>
      <c r="C7" s="7" t="s">
        <v>10</v>
      </c>
      <c r="D7" s="7" t="s">
        <v>224</v>
      </c>
      <c r="E7" s="7" t="s">
        <v>12</v>
      </c>
      <c r="F7" s="6">
        <f>1173696+104364+354456.12</f>
        <v>1632516.12</v>
      </c>
      <c r="G7" s="6">
        <f>1173696+99700+354456.12</f>
        <v>1627852.12</v>
      </c>
      <c r="H7" s="6">
        <f>1173696+99700+354456.12</f>
        <v>1627852.12</v>
      </c>
    </row>
    <row r="8" spans="1:14" ht="31.5" x14ac:dyDescent="0.25">
      <c r="A8" s="23" t="s">
        <v>225</v>
      </c>
      <c r="B8" s="7" t="s">
        <v>8</v>
      </c>
      <c r="C8" s="7" t="s">
        <v>10</v>
      </c>
      <c r="D8" s="7" t="s">
        <v>224</v>
      </c>
      <c r="E8" s="7" t="s">
        <v>14</v>
      </c>
      <c r="F8" s="6">
        <f>14396883.88+130000+1231411.18</f>
        <v>15758295.060000001</v>
      </c>
      <c r="G8" s="6">
        <f>14401547.88+130000</f>
        <v>14531547.880000001</v>
      </c>
      <c r="H8" s="6">
        <f>14401547.88+130000</f>
        <v>14531547.880000001</v>
      </c>
    </row>
    <row r="9" spans="1:14" ht="31.5" x14ac:dyDescent="0.25">
      <c r="A9" s="23" t="s">
        <v>226</v>
      </c>
      <c r="B9" s="7" t="s">
        <v>8</v>
      </c>
      <c r="C9" s="7" t="s">
        <v>10</v>
      </c>
      <c r="D9" s="7" t="s">
        <v>224</v>
      </c>
      <c r="E9" s="7" t="s">
        <v>16</v>
      </c>
      <c r="F9" s="6">
        <v>136400</v>
      </c>
      <c r="G9" s="6">
        <v>136400</v>
      </c>
      <c r="H9" s="6">
        <v>136400</v>
      </c>
    </row>
    <row r="10" spans="1:14" ht="78.75" x14ac:dyDescent="0.25">
      <c r="A10" s="23" t="s">
        <v>9</v>
      </c>
      <c r="B10" s="7" t="s">
        <v>8</v>
      </c>
      <c r="C10" s="7" t="s">
        <v>10</v>
      </c>
      <c r="D10" s="7" t="s">
        <v>11</v>
      </c>
      <c r="E10" s="7" t="s">
        <v>12</v>
      </c>
      <c r="F10" s="6">
        <f>29121335.57+114912+8529046.73</f>
        <v>37765294.299999997</v>
      </c>
      <c r="G10" s="6">
        <f>26500702.8+116312+7995894.23</f>
        <v>34612909.030000001</v>
      </c>
      <c r="H10" s="6">
        <f>26500702.8+116212+7995894.23</f>
        <v>34612809.030000001</v>
      </c>
    </row>
    <row r="11" spans="1:14" ht="47.25" x14ac:dyDescent="0.25">
      <c r="A11" s="23" t="s">
        <v>13</v>
      </c>
      <c r="B11" s="7" t="s">
        <v>8</v>
      </c>
      <c r="C11" s="7" t="s">
        <v>10</v>
      </c>
      <c r="D11" s="7" t="s">
        <v>11</v>
      </c>
      <c r="E11" s="7" t="s">
        <v>14</v>
      </c>
      <c r="F11" s="6">
        <f>24472202.42+27623845.99-7783607.51-30000000-790000-350443.52+16745052.96+103684.64+9216515.36+500000+9600+64200+602189+150000-602189-29389.95-6160.81-150526.32</f>
        <v>39774973.259999998</v>
      </c>
      <c r="G11" s="6">
        <f>20202077.95+29011538.29-8172787.89-30000000-700000-5520.84+705520.84</f>
        <v>11040828.349999994</v>
      </c>
      <c r="H11" s="6">
        <f>20424899.28+30468615.2-8581427.28-30000000-700000-120780.22</f>
        <v>11491306.980000002</v>
      </c>
    </row>
    <row r="12" spans="1:14" ht="31.5" x14ac:dyDescent="0.25">
      <c r="A12" s="23" t="s">
        <v>15</v>
      </c>
      <c r="B12" s="7" t="s">
        <v>8</v>
      </c>
      <c r="C12" s="7" t="s">
        <v>10</v>
      </c>
      <c r="D12" s="7" t="s">
        <v>11</v>
      </c>
      <c r="E12" s="7" t="s">
        <v>16</v>
      </c>
      <c r="F12" s="16">
        <f>328117+13000+149216.21</f>
        <v>490333.20999999996</v>
      </c>
      <c r="G12" s="16">
        <f>328617+13000</f>
        <v>341617</v>
      </c>
      <c r="H12" s="16">
        <f>328617+13000</f>
        <v>341617</v>
      </c>
    </row>
    <row r="13" spans="1:14" ht="141.75" x14ac:dyDescent="0.25">
      <c r="A13" s="23" t="s">
        <v>200</v>
      </c>
      <c r="B13" s="7" t="s">
        <v>8</v>
      </c>
      <c r="C13" s="7" t="s">
        <v>10</v>
      </c>
      <c r="D13" s="7" t="s">
        <v>17</v>
      </c>
      <c r="E13" s="7" t="s">
        <v>12</v>
      </c>
      <c r="F13" s="16">
        <f>47947218.13+14480059.87</f>
        <v>62427278</v>
      </c>
      <c r="G13" s="16">
        <f>48560018.43+14665125.57</f>
        <v>63225144</v>
      </c>
      <c r="H13" s="16">
        <f>48560018.43+14665125.57</f>
        <v>63225144</v>
      </c>
    </row>
    <row r="14" spans="1:14" ht="110.25" x14ac:dyDescent="0.25">
      <c r="A14" s="23" t="s">
        <v>201</v>
      </c>
      <c r="B14" s="7" t="s">
        <v>8</v>
      </c>
      <c r="C14" s="7" t="s">
        <v>10</v>
      </c>
      <c r="D14" s="7" t="s">
        <v>17</v>
      </c>
      <c r="E14" s="7" t="s">
        <v>14</v>
      </c>
      <c r="F14" s="16">
        <v>358680</v>
      </c>
      <c r="G14" s="16">
        <v>161700</v>
      </c>
      <c r="H14" s="16">
        <v>161700</v>
      </c>
    </row>
    <row r="15" spans="1:14" ht="47.25" x14ac:dyDescent="0.25">
      <c r="A15" s="23" t="s">
        <v>309</v>
      </c>
      <c r="B15" s="7" t="s">
        <v>8</v>
      </c>
      <c r="C15" s="7" t="s">
        <v>10</v>
      </c>
      <c r="D15" s="7" t="s">
        <v>308</v>
      </c>
      <c r="E15" s="7" t="s">
        <v>14</v>
      </c>
      <c r="F15" s="16">
        <f>2860000+150526.32</f>
        <v>3010526.32</v>
      </c>
      <c r="G15" s="16">
        <v>0</v>
      </c>
      <c r="H15" s="16">
        <v>0</v>
      </c>
    </row>
    <row r="16" spans="1:14" ht="31.5" x14ac:dyDescent="0.25">
      <c r="A16" s="23" t="s">
        <v>280</v>
      </c>
      <c r="B16" s="7" t="s">
        <v>8</v>
      </c>
      <c r="C16" s="7" t="s">
        <v>10</v>
      </c>
      <c r="D16" s="7" t="s">
        <v>279</v>
      </c>
      <c r="E16" s="7" t="s">
        <v>14</v>
      </c>
      <c r="F16" s="16">
        <v>586068.1</v>
      </c>
      <c r="G16" s="16">
        <v>0</v>
      </c>
      <c r="H16" s="16">
        <v>0</v>
      </c>
    </row>
    <row r="17" spans="1:8" ht="78.75" x14ac:dyDescent="0.25">
      <c r="A17" s="23" t="s">
        <v>297</v>
      </c>
      <c r="B17" s="7" t="s">
        <v>8</v>
      </c>
      <c r="C17" s="7" t="s">
        <v>10</v>
      </c>
      <c r="D17" s="7" t="s">
        <v>296</v>
      </c>
      <c r="E17" s="7" t="s">
        <v>14</v>
      </c>
      <c r="F17" s="16">
        <f>12000000+602189+29389.95</f>
        <v>12631578.949999999</v>
      </c>
      <c r="G17" s="16">
        <v>0</v>
      </c>
      <c r="H17" s="16">
        <v>0</v>
      </c>
    </row>
    <row r="18" spans="1:8" ht="141.75" x14ac:dyDescent="0.25">
      <c r="A18" s="23" t="s">
        <v>18</v>
      </c>
      <c r="B18" s="7" t="s">
        <v>8</v>
      </c>
      <c r="C18" s="7" t="s">
        <v>10</v>
      </c>
      <c r="D18" s="7" t="s">
        <v>19</v>
      </c>
      <c r="E18" s="7" t="s">
        <v>12</v>
      </c>
      <c r="F18" s="16">
        <f>140000+42280</f>
        <v>182280</v>
      </c>
      <c r="G18" s="16">
        <f t="shared" ref="G18:H18" si="0">140000+42280</f>
        <v>182280</v>
      </c>
      <c r="H18" s="16">
        <f t="shared" si="0"/>
        <v>182280</v>
      </c>
    </row>
    <row r="19" spans="1:8" ht="126" x14ac:dyDescent="0.25">
      <c r="A19" s="23" t="s">
        <v>20</v>
      </c>
      <c r="B19" s="7" t="s">
        <v>8</v>
      </c>
      <c r="C19" s="7" t="s">
        <v>10</v>
      </c>
      <c r="D19" s="7" t="s">
        <v>19</v>
      </c>
      <c r="E19" s="7" t="s">
        <v>14</v>
      </c>
      <c r="F19" s="16">
        <v>390269</v>
      </c>
      <c r="G19" s="16">
        <v>390269</v>
      </c>
      <c r="H19" s="16">
        <v>390269</v>
      </c>
    </row>
    <row r="20" spans="1:8" ht="47.25" x14ac:dyDescent="0.25">
      <c r="A20" s="25" t="s">
        <v>21</v>
      </c>
      <c r="B20" s="8" t="s">
        <v>8</v>
      </c>
      <c r="C20" s="8" t="s">
        <v>10</v>
      </c>
      <c r="D20" s="8" t="s">
        <v>22</v>
      </c>
      <c r="E20" s="8" t="s">
        <v>14</v>
      </c>
      <c r="F20" s="6">
        <f>4050782-4050782+1322562</f>
        <v>1322562</v>
      </c>
      <c r="G20" s="6">
        <f>1409841-1409841+1409841</f>
        <v>1409841</v>
      </c>
      <c r="H20" s="6">
        <f>1409841-1409841+1409841</f>
        <v>1409841</v>
      </c>
    </row>
    <row r="21" spans="1:8" ht="31.5" x14ac:dyDescent="0.25">
      <c r="A21" s="26" t="s">
        <v>23</v>
      </c>
      <c r="B21" s="8" t="s">
        <v>8</v>
      </c>
      <c r="C21" s="8" t="s">
        <v>10</v>
      </c>
      <c r="D21" s="8" t="s">
        <v>24</v>
      </c>
      <c r="E21" s="8" t="s">
        <v>14</v>
      </c>
      <c r="F21" s="6">
        <f>20955979-20955979+536000+288932.71</f>
        <v>824932.71</v>
      </c>
      <c r="G21" s="6">
        <f>2636000-2636000</f>
        <v>0</v>
      </c>
      <c r="H21" s="6">
        <f>2370000-2370000</f>
        <v>0</v>
      </c>
    </row>
    <row r="22" spans="1:8" ht="31.5" x14ac:dyDescent="0.25">
      <c r="A22" s="26" t="s">
        <v>25</v>
      </c>
      <c r="B22" s="8" t="s">
        <v>8</v>
      </c>
      <c r="C22" s="8" t="s">
        <v>10</v>
      </c>
      <c r="D22" s="8" t="s">
        <v>26</v>
      </c>
      <c r="E22" s="8" t="s">
        <v>14</v>
      </c>
      <c r="F22" s="6">
        <v>0</v>
      </c>
      <c r="G22" s="6">
        <v>120000</v>
      </c>
      <c r="H22" s="6">
        <v>120000</v>
      </c>
    </row>
    <row r="23" spans="1:8" ht="31.5" x14ac:dyDescent="0.25">
      <c r="A23" s="26" t="s">
        <v>27</v>
      </c>
      <c r="B23" s="8" t="s">
        <v>8</v>
      </c>
      <c r="C23" s="8" t="s">
        <v>10</v>
      </c>
      <c r="D23" s="8" t="s">
        <v>28</v>
      </c>
      <c r="E23" s="8" t="s">
        <v>14</v>
      </c>
      <c r="F23" s="6">
        <f>1400656-800000+539400</f>
        <v>1140056</v>
      </c>
      <c r="G23" s="6">
        <f>1194124-800000</f>
        <v>394124</v>
      </c>
      <c r="H23" s="6">
        <f>1194124-800000</f>
        <v>394124</v>
      </c>
    </row>
    <row r="24" spans="1:8" ht="31.5" x14ac:dyDescent="0.25">
      <c r="A24" s="24" t="s">
        <v>174</v>
      </c>
      <c r="B24" s="8" t="s">
        <v>8</v>
      </c>
      <c r="C24" s="8" t="s">
        <v>10</v>
      </c>
      <c r="D24" s="8" t="s">
        <v>175</v>
      </c>
      <c r="E24" s="8" t="s">
        <v>14</v>
      </c>
      <c r="F24" s="6">
        <v>500000</v>
      </c>
      <c r="G24" s="6">
        <f>1500000-1500000</f>
        <v>0</v>
      </c>
      <c r="H24" s="6">
        <f>1500000-1500000</f>
        <v>0</v>
      </c>
    </row>
    <row r="25" spans="1:8" ht="63" x14ac:dyDescent="0.25">
      <c r="A25" s="23" t="s">
        <v>223</v>
      </c>
      <c r="B25" s="7" t="s">
        <v>8</v>
      </c>
      <c r="C25" s="7" t="s">
        <v>29</v>
      </c>
      <c r="D25" s="7" t="s">
        <v>227</v>
      </c>
      <c r="E25" s="7" t="s">
        <v>12</v>
      </c>
      <c r="F25" s="16">
        <f>58380+17630+3353.38+1073.12</f>
        <v>80436.5</v>
      </c>
      <c r="G25" s="16">
        <f t="shared" ref="G25:H25" si="1">58380+17630</f>
        <v>76010</v>
      </c>
      <c r="H25" s="16">
        <f t="shared" si="1"/>
        <v>76010</v>
      </c>
    </row>
    <row r="26" spans="1:8" ht="31.5" x14ac:dyDescent="0.25">
      <c r="A26" s="23" t="s">
        <v>225</v>
      </c>
      <c r="B26" s="7" t="s">
        <v>8</v>
      </c>
      <c r="C26" s="7" t="s">
        <v>29</v>
      </c>
      <c r="D26" s="7" t="s">
        <v>227</v>
      </c>
      <c r="E26" s="7" t="s">
        <v>14</v>
      </c>
      <c r="F26" s="6">
        <f>1574090+89391.43</f>
        <v>1663481.43</v>
      </c>
      <c r="G26" s="6">
        <v>1574090</v>
      </c>
      <c r="H26" s="6">
        <v>1574090</v>
      </c>
    </row>
    <row r="27" spans="1:8" ht="78.75" x14ac:dyDescent="0.25">
      <c r="A27" s="26" t="s">
        <v>30</v>
      </c>
      <c r="B27" s="8" t="s">
        <v>8</v>
      </c>
      <c r="C27" s="8" t="s">
        <v>29</v>
      </c>
      <c r="D27" s="8" t="s">
        <v>31</v>
      </c>
      <c r="E27" s="8" t="s">
        <v>12</v>
      </c>
      <c r="F27" s="6">
        <f>9252280.7+94432+2794188.77</f>
        <v>12140901.469999999</v>
      </c>
      <c r="G27" s="6">
        <f>8757725.2+104156+2644832.81</f>
        <v>11506714.01</v>
      </c>
      <c r="H27" s="6">
        <f>8757725.2+104156+2644832.81</f>
        <v>11506714.01</v>
      </c>
    </row>
    <row r="28" spans="1:8" ht="47.25" x14ac:dyDescent="0.25">
      <c r="A28" s="26" t="s">
        <v>32</v>
      </c>
      <c r="B28" s="8" t="s">
        <v>8</v>
      </c>
      <c r="C28" s="8" t="s">
        <v>29</v>
      </c>
      <c r="D28" s="8" t="s">
        <v>31</v>
      </c>
      <c r="E28" s="8" t="s">
        <v>14</v>
      </c>
      <c r="F28" s="6">
        <f>12109112.46+27136050.8-8305198-20000000-1960567.71+1275104.13+17168617.78+2911447.6+608484.51+100000</f>
        <v>31043051.570000008</v>
      </c>
      <c r="G28" s="6">
        <f>11415225.48+28482379.2-8720457.9-20000000-2141580.89+1083864.13+246361.96</f>
        <v>10365791.98</v>
      </c>
      <c r="H28" s="6">
        <f>11567887.61+29902602.27-9156480.8-20000000-5794503.64+783864.13-21275.93</f>
        <v>7282093.639999995</v>
      </c>
    </row>
    <row r="29" spans="1:8" ht="33.75" customHeight="1" x14ac:dyDescent="0.25">
      <c r="A29" s="26" t="s">
        <v>33</v>
      </c>
      <c r="B29" s="8" t="s">
        <v>8</v>
      </c>
      <c r="C29" s="8" t="s">
        <v>29</v>
      </c>
      <c r="D29" s="8" t="s">
        <v>31</v>
      </c>
      <c r="E29" s="8" t="s">
        <v>16</v>
      </c>
      <c r="F29" s="6">
        <f>701638.82+5000+369256</f>
        <v>1075894.8199999998</v>
      </c>
      <c r="G29" s="6">
        <f>698438.82+5000</f>
        <v>703438.82</v>
      </c>
      <c r="H29" s="6">
        <f>698438.82+5000</f>
        <v>703438.82</v>
      </c>
    </row>
    <row r="30" spans="1:8" ht="186" customHeight="1" x14ac:dyDescent="0.25">
      <c r="A30" s="23" t="s">
        <v>274</v>
      </c>
      <c r="B30" s="8" t="s">
        <v>8</v>
      </c>
      <c r="C30" s="8" t="s">
        <v>29</v>
      </c>
      <c r="D30" s="8" t="s">
        <v>34</v>
      </c>
      <c r="E30" s="8" t="s">
        <v>12</v>
      </c>
      <c r="F30" s="6">
        <f>5640000+1703280-7343280</f>
        <v>0</v>
      </c>
      <c r="G30" s="6">
        <f>7343280-7343280</f>
        <v>0</v>
      </c>
      <c r="H30" s="6">
        <f>7343280-7343280</f>
        <v>0</v>
      </c>
    </row>
    <row r="31" spans="1:8" ht="211.5" customHeight="1" x14ac:dyDescent="0.25">
      <c r="A31" s="23" t="s">
        <v>283</v>
      </c>
      <c r="B31" s="8" t="s">
        <v>8</v>
      </c>
      <c r="C31" s="8" t="s">
        <v>29</v>
      </c>
      <c r="D31" s="8" t="s">
        <v>284</v>
      </c>
      <c r="E31" s="8" t="s">
        <v>12</v>
      </c>
      <c r="F31" s="6">
        <f>5640000+1703280</f>
        <v>7343280</v>
      </c>
      <c r="G31" s="6">
        <v>7343280</v>
      </c>
      <c r="H31" s="6">
        <v>7343280</v>
      </c>
    </row>
    <row r="32" spans="1:8" ht="173.25" x14ac:dyDescent="0.25">
      <c r="A32" s="24" t="s">
        <v>206</v>
      </c>
      <c r="B32" s="8" t="s">
        <v>8</v>
      </c>
      <c r="C32" s="8" t="s">
        <v>29</v>
      </c>
      <c r="D32" s="8" t="s">
        <v>35</v>
      </c>
      <c r="E32" s="8" t="s">
        <v>12</v>
      </c>
      <c r="F32" s="6">
        <f>57577406.11+17388376.64</f>
        <v>74965782.75</v>
      </c>
      <c r="G32" s="6">
        <f>57847613.67+17469979.33</f>
        <v>75317593</v>
      </c>
      <c r="H32" s="6">
        <f>57847613.67+17469979.33</f>
        <v>75317593</v>
      </c>
    </row>
    <row r="33" spans="1:8" ht="141.75" x14ac:dyDescent="0.25">
      <c r="A33" s="24" t="s">
        <v>207</v>
      </c>
      <c r="B33" s="8" t="s">
        <v>8</v>
      </c>
      <c r="C33" s="8" t="s">
        <v>29</v>
      </c>
      <c r="D33" s="8" t="s">
        <v>35</v>
      </c>
      <c r="E33" s="8" t="s">
        <v>14</v>
      </c>
      <c r="F33" s="6">
        <v>2118866</v>
      </c>
      <c r="G33" s="6">
        <v>2598687</v>
      </c>
      <c r="H33" s="6">
        <v>2598687</v>
      </c>
    </row>
    <row r="34" spans="1:8" ht="141.75" x14ac:dyDescent="0.25">
      <c r="A34" s="24" t="s">
        <v>36</v>
      </c>
      <c r="B34" s="9" t="s">
        <v>8</v>
      </c>
      <c r="C34" s="9" t="s">
        <v>29</v>
      </c>
      <c r="D34" s="9" t="s">
        <v>37</v>
      </c>
      <c r="E34" s="9" t="s">
        <v>38</v>
      </c>
      <c r="F34" s="10">
        <v>1562963.5</v>
      </c>
      <c r="G34" s="10">
        <v>1579231</v>
      </c>
      <c r="H34" s="10">
        <v>1579231</v>
      </c>
    </row>
    <row r="35" spans="1:8" ht="267.75" x14ac:dyDescent="0.25">
      <c r="A35" s="23" t="s">
        <v>273</v>
      </c>
      <c r="B35" s="9" t="s">
        <v>8</v>
      </c>
      <c r="C35" s="9" t="s">
        <v>29</v>
      </c>
      <c r="D35" s="9" t="s">
        <v>271</v>
      </c>
      <c r="E35" s="9" t="s">
        <v>14</v>
      </c>
      <c r="F35" s="10">
        <v>1570440.96</v>
      </c>
      <c r="G35" s="10">
        <v>1633452.48</v>
      </c>
      <c r="H35" s="10">
        <v>1698667.2</v>
      </c>
    </row>
    <row r="36" spans="1:8" ht="94.5" x14ac:dyDescent="0.25">
      <c r="A36" s="23" t="s">
        <v>208</v>
      </c>
      <c r="B36" s="9" t="s">
        <v>8</v>
      </c>
      <c r="C36" s="9" t="s">
        <v>29</v>
      </c>
      <c r="D36" s="9" t="s">
        <v>39</v>
      </c>
      <c r="E36" s="9" t="s">
        <v>14</v>
      </c>
      <c r="F36" s="10">
        <f>10707725.28+805957.82+42418.83</f>
        <v>11556101.93</v>
      </c>
      <c r="G36" s="10">
        <f>10707725.28+805957.82+42418.83</f>
        <v>11556101.93</v>
      </c>
      <c r="H36" s="10">
        <f>10776484.26+1065806.14+56095.06</f>
        <v>11898385.460000001</v>
      </c>
    </row>
    <row r="37" spans="1:8" ht="94.5" x14ac:dyDescent="0.25">
      <c r="A37" s="57" t="s">
        <v>262</v>
      </c>
      <c r="B37" s="8" t="s">
        <v>8</v>
      </c>
      <c r="C37" s="8" t="s">
        <v>29</v>
      </c>
      <c r="D37" s="8" t="s">
        <v>261</v>
      </c>
      <c r="E37" s="8" t="s">
        <v>14</v>
      </c>
      <c r="F37" s="6">
        <v>42891</v>
      </c>
      <c r="G37" s="6">
        <v>42891</v>
      </c>
      <c r="H37" s="6">
        <v>42891</v>
      </c>
    </row>
    <row r="38" spans="1:8" ht="47.25" x14ac:dyDescent="0.25">
      <c r="A38" s="25" t="s">
        <v>21</v>
      </c>
      <c r="B38" s="8" t="s">
        <v>8</v>
      </c>
      <c r="C38" s="8" t="s">
        <v>29</v>
      </c>
      <c r="D38" s="8" t="s">
        <v>22</v>
      </c>
      <c r="E38" s="8" t="s">
        <v>14</v>
      </c>
      <c r="F38" s="6">
        <f>10259398-10259398+5259398-4128511</f>
        <v>1130887</v>
      </c>
      <c r="G38" s="6">
        <f>4913735-4913735+2913735</f>
        <v>2913735</v>
      </c>
      <c r="H38" s="6">
        <f>4913735-4913735+2913735-800000</f>
        <v>2113735</v>
      </c>
    </row>
    <row r="39" spans="1:8" ht="31.5" x14ac:dyDescent="0.25">
      <c r="A39" s="27" t="s">
        <v>23</v>
      </c>
      <c r="B39" s="9" t="s">
        <v>8</v>
      </c>
      <c r="C39" s="9" t="s">
        <v>29</v>
      </c>
      <c r="D39" s="9" t="s">
        <v>24</v>
      </c>
      <c r="E39" s="9" t="s">
        <v>14</v>
      </c>
      <c r="F39" s="10">
        <f>4606290.6-4606290.6+33392+272268.8+1004791.08</f>
        <v>1310451.8799999999</v>
      </c>
      <c r="G39" s="10">
        <f>9025000-9025000</f>
        <v>0</v>
      </c>
      <c r="H39" s="10">
        <f>15160000-15160000</f>
        <v>0</v>
      </c>
    </row>
    <row r="40" spans="1:8" ht="63" x14ac:dyDescent="0.25">
      <c r="A40" s="27" t="s">
        <v>199</v>
      </c>
      <c r="B40" s="9" t="s">
        <v>8</v>
      </c>
      <c r="C40" s="9" t="s">
        <v>29</v>
      </c>
      <c r="D40" s="9" t="s">
        <v>198</v>
      </c>
      <c r="E40" s="9" t="s">
        <v>14</v>
      </c>
      <c r="F40" s="10">
        <f>2477890+25029.2+252.82-2503172.02</f>
        <v>0</v>
      </c>
      <c r="G40" s="10">
        <v>0</v>
      </c>
      <c r="H40" s="10">
        <v>0</v>
      </c>
    </row>
    <row r="41" spans="1:8" ht="103.5" customHeight="1" x14ac:dyDescent="0.25">
      <c r="A41" s="27" t="s">
        <v>286</v>
      </c>
      <c r="B41" s="9" t="s">
        <v>8</v>
      </c>
      <c r="C41" s="9" t="s">
        <v>29</v>
      </c>
      <c r="D41" s="9" t="s">
        <v>285</v>
      </c>
      <c r="E41" s="9" t="s">
        <v>14</v>
      </c>
      <c r="F41" s="10">
        <f>2477890+25029.2+252.82</f>
        <v>2503172.02</v>
      </c>
      <c r="G41" s="10">
        <v>0</v>
      </c>
      <c r="H41" s="10">
        <v>0</v>
      </c>
    </row>
    <row r="42" spans="1:8" ht="147.75" customHeight="1" x14ac:dyDescent="0.25">
      <c r="A42" s="27" t="s">
        <v>295</v>
      </c>
      <c r="B42" s="9" t="s">
        <v>8</v>
      </c>
      <c r="C42" s="9" t="s">
        <v>29</v>
      </c>
      <c r="D42" s="9" t="s">
        <v>294</v>
      </c>
      <c r="E42" s="9" t="s">
        <v>12</v>
      </c>
      <c r="F42" s="10">
        <v>213533.43</v>
      </c>
      <c r="G42" s="10">
        <v>1262982</v>
      </c>
      <c r="H42" s="10">
        <v>1262982</v>
      </c>
    </row>
    <row r="43" spans="1:8" ht="31.5" x14ac:dyDescent="0.25">
      <c r="A43" s="25" t="s">
        <v>25</v>
      </c>
      <c r="B43" s="8" t="s">
        <v>8</v>
      </c>
      <c r="C43" s="8" t="s">
        <v>240</v>
      </c>
      <c r="D43" s="8" t="s">
        <v>26</v>
      </c>
      <c r="E43" s="8" t="s">
        <v>14</v>
      </c>
      <c r="F43" s="6">
        <v>22422.32</v>
      </c>
      <c r="G43" s="6">
        <v>0</v>
      </c>
      <c r="H43" s="6">
        <v>0</v>
      </c>
    </row>
    <row r="44" spans="1:8" ht="47.25" x14ac:dyDescent="0.25">
      <c r="A44" s="28" t="s">
        <v>42</v>
      </c>
      <c r="B44" s="9" t="s">
        <v>8</v>
      </c>
      <c r="C44" s="9" t="s">
        <v>29</v>
      </c>
      <c r="D44" s="9" t="s">
        <v>43</v>
      </c>
      <c r="E44" s="9" t="s">
        <v>14</v>
      </c>
      <c r="F44" s="10">
        <v>45700</v>
      </c>
      <c r="G44" s="10">
        <v>45700</v>
      </c>
      <c r="H44" s="10">
        <v>45700</v>
      </c>
    </row>
    <row r="45" spans="1:8" ht="31.5" x14ac:dyDescent="0.25">
      <c r="A45" s="28" t="s">
        <v>27</v>
      </c>
      <c r="B45" s="9" t="s">
        <v>8</v>
      </c>
      <c r="C45" s="9" t="s">
        <v>29</v>
      </c>
      <c r="D45" s="9" t="s">
        <v>28</v>
      </c>
      <c r="E45" s="9" t="s">
        <v>14</v>
      </c>
      <c r="F45" s="10">
        <f>1125960-500000+166500</f>
        <v>792460</v>
      </c>
      <c r="G45" s="10">
        <f>1049660-500000</f>
        <v>549660</v>
      </c>
      <c r="H45" s="10">
        <f>1049660-500000</f>
        <v>549660</v>
      </c>
    </row>
    <row r="46" spans="1:8" ht="31.5" x14ac:dyDescent="0.25">
      <c r="A46" s="24" t="s">
        <v>174</v>
      </c>
      <c r="B46" s="8" t="s">
        <v>8</v>
      </c>
      <c r="C46" s="8" t="s">
        <v>29</v>
      </c>
      <c r="D46" s="8" t="s">
        <v>175</v>
      </c>
      <c r="E46" s="8" t="s">
        <v>14</v>
      </c>
      <c r="F46" s="6">
        <v>255000</v>
      </c>
      <c r="G46" s="6">
        <f>1500000-1500000</f>
        <v>0</v>
      </c>
      <c r="H46" s="6">
        <f>1500000-1500000</f>
        <v>0</v>
      </c>
    </row>
    <row r="47" spans="1:8" ht="58.5" customHeight="1" x14ac:dyDescent="0.25">
      <c r="A47" s="27" t="s">
        <v>248</v>
      </c>
      <c r="B47" s="9" t="s">
        <v>8</v>
      </c>
      <c r="C47" s="9" t="s">
        <v>44</v>
      </c>
      <c r="D47" s="9" t="s">
        <v>247</v>
      </c>
      <c r="E47" s="9" t="s">
        <v>38</v>
      </c>
      <c r="F47" s="10">
        <f>259650+4038079.2+267840</f>
        <v>4565569.2</v>
      </c>
      <c r="G47" s="10">
        <v>4297729.2</v>
      </c>
      <c r="H47" s="10">
        <v>0</v>
      </c>
    </row>
    <row r="48" spans="1:8" ht="47.25" x14ac:dyDescent="0.25">
      <c r="A48" s="27" t="s">
        <v>249</v>
      </c>
      <c r="B48" s="9" t="s">
        <v>8</v>
      </c>
      <c r="C48" s="9" t="s">
        <v>44</v>
      </c>
      <c r="D48" s="9" t="s">
        <v>247</v>
      </c>
      <c r="E48" s="9" t="s">
        <v>16</v>
      </c>
      <c r="F48" s="10">
        <f>98090+274640.8-267840</f>
        <v>104890.79999999999</v>
      </c>
      <c r="G48" s="10">
        <v>0</v>
      </c>
      <c r="H48" s="10">
        <v>0</v>
      </c>
    </row>
    <row r="49" spans="1:8" ht="47.25" x14ac:dyDescent="0.25">
      <c r="A49" s="28" t="s">
        <v>176</v>
      </c>
      <c r="B49" s="9" t="s">
        <v>8</v>
      </c>
      <c r="C49" s="9" t="s">
        <v>44</v>
      </c>
      <c r="D49" s="9" t="s">
        <v>45</v>
      </c>
      <c r="E49" s="9" t="s">
        <v>38</v>
      </c>
      <c r="F49" s="10">
        <f>6366173.05+7859487.64-90000-2000000+2000000-119000-4851132.69+36080.66+25.2-25.2+50000</f>
        <v>9251608.6600000001</v>
      </c>
      <c r="G49" s="10">
        <f>6802428.47+8277539.11-2500000-24.6-4297729.2</f>
        <v>8282213.7800000003</v>
      </c>
      <c r="H49" s="10">
        <f>6818032.47+8277539.11-2500000</f>
        <v>12595571.58</v>
      </c>
    </row>
    <row r="50" spans="1:8" ht="78.75" x14ac:dyDescent="0.25">
      <c r="A50" s="28" t="s">
        <v>242</v>
      </c>
      <c r="B50" s="9" t="s">
        <v>8</v>
      </c>
      <c r="C50" s="9" t="s">
        <v>44</v>
      </c>
      <c r="D50" s="9" t="s">
        <v>46</v>
      </c>
      <c r="E50" s="9" t="s">
        <v>38</v>
      </c>
      <c r="F50" s="10">
        <v>625715.44999999995</v>
      </c>
      <c r="G50" s="10">
        <v>0</v>
      </c>
      <c r="H50" s="10">
        <v>0</v>
      </c>
    </row>
    <row r="51" spans="1:8" ht="78.75" x14ac:dyDescent="0.25">
      <c r="A51" s="28" t="s">
        <v>244</v>
      </c>
      <c r="B51" s="9" t="s">
        <v>8</v>
      </c>
      <c r="C51" s="9" t="s">
        <v>44</v>
      </c>
      <c r="D51" s="9" t="s">
        <v>47</v>
      </c>
      <c r="E51" s="9" t="s">
        <v>38</v>
      </c>
      <c r="F51" s="10">
        <v>197594.35</v>
      </c>
      <c r="G51" s="10">
        <v>0</v>
      </c>
      <c r="H51" s="10">
        <v>0</v>
      </c>
    </row>
    <row r="52" spans="1:8" ht="78.75" x14ac:dyDescent="0.25">
      <c r="A52" s="28" t="s">
        <v>243</v>
      </c>
      <c r="B52" s="9" t="s">
        <v>8</v>
      </c>
      <c r="C52" s="9" t="s">
        <v>44</v>
      </c>
      <c r="D52" s="9" t="s">
        <v>48</v>
      </c>
      <c r="E52" s="9" t="s">
        <v>38</v>
      </c>
      <c r="F52" s="10">
        <v>725273.23</v>
      </c>
      <c r="G52" s="10">
        <v>0</v>
      </c>
      <c r="H52" s="10">
        <v>0</v>
      </c>
    </row>
    <row r="53" spans="1:8" ht="78.75" x14ac:dyDescent="0.25">
      <c r="A53" s="28" t="s">
        <v>245</v>
      </c>
      <c r="B53" s="9" t="s">
        <v>8</v>
      </c>
      <c r="C53" s="9" t="s">
        <v>44</v>
      </c>
      <c r="D53" s="9" t="s">
        <v>49</v>
      </c>
      <c r="E53" s="9" t="s">
        <v>38</v>
      </c>
      <c r="F53" s="10">
        <f>183226.92-145054.64</f>
        <v>38172.28</v>
      </c>
      <c r="G53" s="10">
        <v>0</v>
      </c>
      <c r="H53" s="10">
        <v>0</v>
      </c>
    </row>
    <row r="54" spans="1:8" ht="94.5" x14ac:dyDescent="0.25">
      <c r="A54" s="28" t="s">
        <v>291</v>
      </c>
      <c r="B54" s="9" t="s">
        <v>8</v>
      </c>
      <c r="C54" s="9" t="s">
        <v>44</v>
      </c>
      <c r="D54" s="9" t="s">
        <v>290</v>
      </c>
      <c r="E54" s="9" t="s">
        <v>38</v>
      </c>
      <c r="F54" s="10">
        <f>246249.68+25.2</f>
        <v>246274.88</v>
      </c>
      <c r="G54" s="10">
        <f>245623.4+24.6</f>
        <v>245648</v>
      </c>
      <c r="H54" s="10">
        <v>0</v>
      </c>
    </row>
    <row r="55" spans="1:8" ht="63" x14ac:dyDescent="0.25">
      <c r="A55" s="24" t="s">
        <v>241</v>
      </c>
      <c r="B55" s="8" t="s">
        <v>8</v>
      </c>
      <c r="C55" s="8" t="s">
        <v>50</v>
      </c>
      <c r="D55" s="8" t="s">
        <v>51</v>
      </c>
      <c r="E55" s="8" t="s">
        <v>12</v>
      </c>
      <c r="F55" s="6">
        <f>127064+38373.5-165437.5</f>
        <v>0</v>
      </c>
      <c r="G55" s="6">
        <f>127064+38373.5-165437.5</f>
        <v>0</v>
      </c>
      <c r="H55" s="6">
        <f>127064+38373.5-165437.5</f>
        <v>0</v>
      </c>
    </row>
    <row r="56" spans="1:8" ht="63" x14ac:dyDescent="0.25">
      <c r="A56" s="24" t="s">
        <v>239</v>
      </c>
      <c r="B56" s="8" t="s">
        <v>8</v>
      </c>
      <c r="C56" s="8" t="s">
        <v>50</v>
      </c>
      <c r="D56" s="8" t="s">
        <v>53</v>
      </c>
      <c r="E56" s="8" t="s">
        <v>14</v>
      </c>
      <c r="F56" s="6">
        <f>113400-113400</f>
        <v>0</v>
      </c>
      <c r="G56" s="6">
        <f>113400-113400</f>
        <v>0</v>
      </c>
      <c r="H56" s="6">
        <v>0</v>
      </c>
    </row>
    <row r="57" spans="1:8" ht="63" x14ac:dyDescent="0.25">
      <c r="A57" s="24" t="s">
        <v>52</v>
      </c>
      <c r="B57" s="8" t="s">
        <v>8</v>
      </c>
      <c r="C57" s="8" t="s">
        <v>50</v>
      </c>
      <c r="D57" s="8" t="s">
        <v>53</v>
      </c>
      <c r="E57" s="8" t="s">
        <v>38</v>
      </c>
      <c r="F57" s="6">
        <f>708750+255150-963900</f>
        <v>0</v>
      </c>
      <c r="G57" s="6">
        <f>708750+255150-963900</f>
        <v>0</v>
      </c>
      <c r="H57" s="6">
        <f>708750+368550-1077300</f>
        <v>0</v>
      </c>
    </row>
    <row r="58" spans="1:8" ht="63" x14ac:dyDescent="0.25">
      <c r="A58" s="24" t="s">
        <v>228</v>
      </c>
      <c r="B58" s="8" t="s">
        <v>8</v>
      </c>
      <c r="C58" s="8" t="s">
        <v>50</v>
      </c>
      <c r="D58" s="8" t="s">
        <v>54</v>
      </c>
      <c r="E58" s="8" t="s">
        <v>38</v>
      </c>
      <c r="F58" s="6">
        <f>56700-56700</f>
        <v>0</v>
      </c>
      <c r="G58" s="6">
        <f>56700-56700</f>
        <v>0</v>
      </c>
      <c r="H58" s="6">
        <f>56700-56700</f>
        <v>0</v>
      </c>
    </row>
    <row r="59" spans="1:8" ht="47.25" x14ac:dyDescent="0.25">
      <c r="A59" s="26" t="s">
        <v>55</v>
      </c>
      <c r="B59" s="8" t="s">
        <v>8</v>
      </c>
      <c r="C59" s="8" t="s">
        <v>56</v>
      </c>
      <c r="D59" s="8" t="s">
        <v>31</v>
      </c>
      <c r="E59" s="8" t="s">
        <v>38</v>
      </c>
      <c r="F59" s="6">
        <f>9421421.16+545400-545400-1000000+1477580.55+435910</f>
        <v>10334911.710000001</v>
      </c>
      <c r="G59" s="6">
        <f>10363563.28-2000000</f>
        <v>8363563.2799999993</v>
      </c>
      <c r="H59" s="6">
        <f>11399919.61-3000000</f>
        <v>8399919.6099999994</v>
      </c>
    </row>
    <row r="60" spans="1:8" ht="63" x14ac:dyDescent="0.25">
      <c r="A60" s="25" t="s">
        <v>219</v>
      </c>
      <c r="B60" s="8" t="s">
        <v>8</v>
      </c>
      <c r="C60" s="8" t="s">
        <v>56</v>
      </c>
      <c r="D60" s="8" t="s">
        <v>58</v>
      </c>
      <c r="E60" s="8" t="s">
        <v>12</v>
      </c>
      <c r="F60" s="6">
        <v>10000</v>
      </c>
      <c r="G60" s="6">
        <v>10000</v>
      </c>
      <c r="H60" s="6">
        <v>10000</v>
      </c>
    </row>
    <row r="61" spans="1:8" ht="31.5" x14ac:dyDescent="0.25">
      <c r="A61" s="25" t="s">
        <v>57</v>
      </c>
      <c r="B61" s="8" t="s">
        <v>8</v>
      </c>
      <c r="C61" s="8" t="s">
        <v>56</v>
      </c>
      <c r="D61" s="8" t="s">
        <v>58</v>
      </c>
      <c r="E61" s="8" t="s">
        <v>14</v>
      </c>
      <c r="F61" s="6">
        <v>216000</v>
      </c>
      <c r="G61" s="6">
        <v>216000</v>
      </c>
      <c r="H61" s="6">
        <v>216000</v>
      </c>
    </row>
    <row r="62" spans="1:8" ht="31.5" x14ac:dyDescent="0.25">
      <c r="A62" s="25" t="s">
        <v>59</v>
      </c>
      <c r="B62" s="8" t="s">
        <v>8</v>
      </c>
      <c r="C62" s="8" t="s">
        <v>56</v>
      </c>
      <c r="D62" s="8" t="s">
        <v>58</v>
      </c>
      <c r="E62" s="8" t="s">
        <v>60</v>
      </c>
      <c r="F62" s="6">
        <v>74000</v>
      </c>
      <c r="G62" s="6">
        <v>74000</v>
      </c>
      <c r="H62" s="6">
        <v>74000</v>
      </c>
    </row>
    <row r="63" spans="1:8" ht="63" x14ac:dyDescent="0.25">
      <c r="A63" s="25" t="s">
        <v>40</v>
      </c>
      <c r="B63" s="8" t="s">
        <v>8</v>
      </c>
      <c r="C63" s="8" t="s">
        <v>56</v>
      </c>
      <c r="D63" s="8" t="s">
        <v>41</v>
      </c>
      <c r="E63" s="8" t="s">
        <v>12</v>
      </c>
      <c r="F63" s="6">
        <f>130000+39260</f>
        <v>169260</v>
      </c>
      <c r="G63" s="6">
        <f t="shared" ref="G63:H63" si="2">130000+39260</f>
        <v>169260</v>
      </c>
      <c r="H63" s="6">
        <f t="shared" si="2"/>
        <v>169260</v>
      </c>
    </row>
    <row r="64" spans="1:8" ht="31.5" x14ac:dyDescent="0.25">
      <c r="A64" s="25" t="s">
        <v>61</v>
      </c>
      <c r="B64" s="8" t="s">
        <v>8</v>
      </c>
      <c r="C64" s="8" t="s">
        <v>56</v>
      </c>
      <c r="D64" s="8" t="s">
        <v>41</v>
      </c>
      <c r="E64" s="8" t="s">
        <v>14</v>
      </c>
      <c r="F64" s="6">
        <v>2740</v>
      </c>
      <c r="G64" s="6">
        <v>2740</v>
      </c>
      <c r="H64" s="6">
        <v>2740</v>
      </c>
    </row>
    <row r="65" spans="1:11" ht="63" x14ac:dyDescent="0.25">
      <c r="A65" s="24" t="s">
        <v>241</v>
      </c>
      <c r="B65" s="8" t="s">
        <v>8</v>
      </c>
      <c r="C65" s="8" t="s">
        <v>56</v>
      </c>
      <c r="D65" s="8" t="s">
        <v>51</v>
      </c>
      <c r="E65" s="8" t="s">
        <v>12</v>
      </c>
      <c r="F65" s="6">
        <f>127064+38373.5</f>
        <v>165437.5</v>
      </c>
      <c r="G65" s="6">
        <f t="shared" ref="G65:H65" si="3">127064+38373.5</f>
        <v>165437.5</v>
      </c>
      <c r="H65" s="6">
        <f t="shared" si="3"/>
        <v>165437.5</v>
      </c>
    </row>
    <row r="66" spans="1:11" ht="63" x14ac:dyDescent="0.25">
      <c r="A66" s="24" t="s">
        <v>239</v>
      </c>
      <c r="B66" s="8" t="s">
        <v>8</v>
      </c>
      <c r="C66" s="8" t="s">
        <v>56</v>
      </c>
      <c r="D66" s="8" t="s">
        <v>53</v>
      </c>
      <c r="E66" s="8" t="s">
        <v>14</v>
      </c>
      <c r="F66" s="6">
        <v>113400</v>
      </c>
      <c r="G66" s="6">
        <v>113400</v>
      </c>
      <c r="H66" s="6">
        <v>0</v>
      </c>
    </row>
    <row r="67" spans="1:11" ht="63" x14ac:dyDescent="0.25">
      <c r="A67" s="24" t="s">
        <v>52</v>
      </c>
      <c r="B67" s="8" t="s">
        <v>8</v>
      </c>
      <c r="C67" s="8" t="s">
        <v>56</v>
      </c>
      <c r="D67" s="8" t="s">
        <v>53</v>
      </c>
      <c r="E67" s="8" t="s">
        <v>38</v>
      </c>
      <c r="F67" s="6">
        <f>708750+255150</f>
        <v>963900</v>
      </c>
      <c r="G67" s="6">
        <f>708750+255150</f>
        <v>963900</v>
      </c>
      <c r="H67" s="6">
        <f>708750+368550</f>
        <v>1077300</v>
      </c>
    </row>
    <row r="68" spans="1:11" ht="63" x14ac:dyDescent="0.25">
      <c r="A68" s="24" t="s">
        <v>228</v>
      </c>
      <c r="B68" s="8" t="s">
        <v>8</v>
      </c>
      <c r="C68" s="8" t="s">
        <v>56</v>
      </c>
      <c r="D68" s="8" t="s">
        <v>54</v>
      </c>
      <c r="E68" s="8" t="s">
        <v>38</v>
      </c>
      <c r="F68" s="6">
        <v>56700</v>
      </c>
      <c r="G68" s="6">
        <v>56700</v>
      </c>
      <c r="H68" s="6">
        <v>56700</v>
      </c>
    </row>
    <row r="69" spans="1:11" ht="31.5" x14ac:dyDescent="0.25">
      <c r="A69" s="25" t="s">
        <v>27</v>
      </c>
      <c r="B69" s="8" t="s">
        <v>8</v>
      </c>
      <c r="C69" s="8" t="s">
        <v>56</v>
      </c>
      <c r="D69" s="8" t="s">
        <v>28</v>
      </c>
      <c r="E69" s="8" t="s">
        <v>14</v>
      </c>
      <c r="F69" s="6">
        <v>28580</v>
      </c>
      <c r="G69" s="6">
        <v>22280</v>
      </c>
      <c r="H69" s="6">
        <v>22280</v>
      </c>
    </row>
    <row r="70" spans="1:11" ht="78.75" x14ac:dyDescent="0.25">
      <c r="A70" s="24" t="s">
        <v>63</v>
      </c>
      <c r="B70" s="8" t="s">
        <v>8</v>
      </c>
      <c r="C70" s="8" t="s">
        <v>56</v>
      </c>
      <c r="D70" s="8" t="s">
        <v>64</v>
      </c>
      <c r="E70" s="8" t="s">
        <v>12</v>
      </c>
      <c r="F70" s="6">
        <f>10615862+3205990.3</f>
        <v>13821852.300000001</v>
      </c>
      <c r="G70" s="6">
        <f t="shared" ref="G70:H70" si="4">10615862+3205990.3</f>
        <v>13821852.300000001</v>
      </c>
      <c r="H70" s="6">
        <f t="shared" si="4"/>
        <v>13821852.300000001</v>
      </c>
    </row>
    <row r="71" spans="1:11" ht="47.25" x14ac:dyDescent="0.25">
      <c r="A71" s="24" t="s">
        <v>65</v>
      </c>
      <c r="B71" s="8" t="s">
        <v>8</v>
      </c>
      <c r="C71" s="8" t="s">
        <v>56</v>
      </c>
      <c r="D71" s="8" t="s">
        <v>64</v>
      </c>
      <c r="E71" s="8" t="s">
        <v>14</v>
      </c>
      <c r="F71" s="6">
        <f>1644618.21+591437.02-500000+500000+150000</f>
        <v>2386055.23</v>
      </c>
      <c r="G71" s="6">
        <f>1364307.88+614248.98-500000</f>
        <v>1478556.8599999999</v>
      </c>
      <c r="H71" s="6">
        <f>1365977.01+644961.42-500000+13014</f>
        <v>1523952.4300000002</v>
      </c>
    </row>
    <row r="72" spans="1:11" ht="31.5" x14ac:dyDescent="0.25">
      <c r="A72" s="28" t="s">
        <v>66</v>
      </c>
      <c r="B72" s="9" t="s">
        <v>8</v>
      </c>
      <c r="C72" s="9" t="s">
        <v>56</v>
      </c>
      <c r="D72" s="8" t="s">
        <v>64</v>
      </c>
      <c r="E72" s="9" t="s">
        <v>16</v>
      </c>
      <c r="F72" s="10">
        <v>2120</v>
      </c>
      <c r="G72" s="10">
        <v>2120</v>
      </c>
      <c r="H72" s="10">
        <v>2120</v>
      </c>
    </row>
    <row r="73" spans="1:11" ht="299.25" x14ac:dyDescent="0.25">
      <c r="A73" s="28" t="s">
        <v>312</v>
      </c>
      <c r="B73" s="9" t="s">
        <v>8</v>
      </c>
      <c r="C73" s="9" t="s">
        <v>68</v>
      </c>
      <c r="D73" s="8" t="s">
        <v>311</v>
      </c>
      <c r="E73" s="9" t="s">
        <v>14</v>
      </c>
      <c r="F73" s="10">
        <v>1217822.6299999999</v>
      </c>
      <c r="G73" s="10">
        <v>1217822.6299999999</v>
      </c>
      <c r="H73" s="10">
        <v>1217822.6299999999</v>
      </c>
    </row>
    <row r="74" spans="1:11" ht="78.75" x14ac:dyDescent="0.25">
      <c r="A74" s="24" t="s">
        <v>67</v>
      </c>
      <c r="B74" s="8" t="s">
        <v>8</v>
      </c>
      <c r="C74" s="8" t="s">
        <v>68</v>
      </c>
      <c r="D74" s="8" t="s">
        <v>69</v>
      </c>
      <c r="E74" s="8" t="s">
        <v>60</v>
      </c>
      <c r="F74" s="6">
        <v>2458533.39</v>
      </c>
      <c r="G74" s="6">
        <v>1832091.9</v>
      </c>
      <c r="H74" s="6">
        <v>1832091.9</v>
      </c>
    </row>
    <row r="75" spans="1:11" ht="47.25" x14ac:dyDescent="0.3">
      <c r="A75" s="24" t="s">
        <v>246</v>
      </c>
      <c r="B75" s="8" t="s">
        <v>8</v>
      </c>
      <c r="C75" s="8" t="s">
        <v>70</v>
      </c>
      <c r="D75" s="8" t="s">
        <v>71</v>
      </c>
      <c r="E75" s="8" t="s">
        <v>38</v>
      </c>
      <c r="F75" s="6">
        <f>390528+117939.46+173000+18000+45000+105918.78</f>
        <v>850386.24</v>
      </c>
      <c r="G75" s="6">
        <v>709017.46</v>
      </c>
      <c r="H75" s="6">
        <v>709017.46</v>
      </c>
      <c r="I75" s="3"/>
      <c r="J75" s="3"/>
      <c r="K75" s="3"/>
    </row>
    <row r="76" spans="1:11" ht="31.5" x14ac:dyDescent="0.25">
      <c r="A76" s="54" t="s">
        <v>72</v>
      </c>
      <c r="B76" s="55" t="s">
        <v>73</v>
      </c>
      <c r="C76" s="55"/>
      <c r="D76" s="55"/>
      <c r="E76" s="55"/>
      <c r="F76" s="56">
        <f>SUM(F77:F83)</f>
        <v>13709224.119999999</v>
      </c>
      <c r="G76" s="56">
        <f t="shared" ref="G76:H76" si="5">SUM(G77:G83)</f>
        <v>13076830.17</v>
      </c>
      <c r="H76" s="56">
        <f t="shared" si="5"/>
        <v>13219066.48</v>
      </c>
      <c r="I76" s="4"/>
      <c r="J76" s="4"/>
      <c r="K76" s="4"/>
    </row>
    <row r="77" spans="1:11" ht="63" x14ac:dyDescent="0.25">
      <c r="A77" s="29" t="s">
        <v>74</v>
      </c>
      <c r="B77" s="7" t="s">
        <v>73</v>
      </c>
      <c r="C77" s="11" t="s">
        <v>75</v>
      </c>
      <c r="D77" s="11" t="s">
        <v>76</v>
      </c>
      <c r="E77" s="11" t="s">
        <v>12</v>
      </c>
      <c r="F77" s="58">
        <v>11579467</v>
      </c>
      <c r="G77" s="58">
        <v>11579467</v>
      </c>
      <c r="H77" s="58">
        <v>11579467</v>
      </c>
    </row>
    <row r="78" spans="1:11" ht="31.5" x14ac:dyDescent="0.25">
      <c r="A78" s="30" t="s">
        <v>77</v>
      </c>
      <c r="B78" s="7" t="s">
        <v>73</v>
      </c>
      <c r="C78" s="11" t="s">
        <v>75</v>
      </c>
      <c r="D78" s="11" t="s">
        <v>76</v>
      </c>
      <c r="E78" s="11" t="s">
        <v>14</v>
      </c>
      <c r="F78" s="6">
        <v>338441.12</v>
      </c>
      <c r="G78" s="6">
        <v>355363.17</v>
      </c>
      <c r="H78" s="6">
        <v>390899.48</v>
      </c>
    </row>
    <row r="79" spans="1:11" ht="31.5" x14ac:dyDescent="0.25">
      <c r="A79" s="28" t="s">
        <v>78</v>
      </c>
      <c r="B79" s="9" t="s">
        <v>73</v>
      </c>
      <c r="C79" s="12" t="s">
        <v>75</v>
      </c>
      <c r="D79" s="11" t="s">
        <v>76</v>
      </c>
      <c r="E79" s="9" t="s">
        <v>16</v>
      </c>
      <c r="F79" s="10">
        <v>1000</v>
      </c>
      <c r="G79" s="10">
        <v>1000</v>
      </c>
      <c r="H79" s="10">
        <v>1000</v>
      </c>
    </row>
    <row r="80" spans="1:11" ht="94.5" x14ac:dyDescent="0.25">
      <c r="A80" s="28" t="s">
        <v>79</v>
      </c>
      <c r="B80" s="9" t="s">
        <v>73</v>
      </c>
      <c r="C80" s="12" t="s">
        <v>75</v>
      </c>
      <c r="D80" s="11" t="s">
        <v>80</v>
      </c>
      <c r="E80" s="9" t="s">
        <v>12</v>
      </c>
      <c r="F80" s="10">
        <v>649316</v>
      </c>
      <c r="G80" s="10">
        <v>0</v>
      </c>
      <c r="H80" s="10">
        <v>0</v>
      </c>
    </row>
    <row r="81" spans="1:8" ht="31.5" x14ac:dyDescent="0.25">
      <c r="A81" s="24" t="s">
        <v>81</v>
      </c>
      <c r="B81" s="8" t="s">
        <v>73</v>
      </c>
      <c r="C81" s="8" t="s">
        <v>75</v>
      </c>
      <c r="D81" s="8" t="s">
        <v>82</v>
      </c>
      <c r="E81" s="8" t="s">
        <v>14</v>
      </c>
      <c r="F81" s="6">
        <v>1017000</v>
      </c>
      <c r="G81" s="6">
        <v>1017000</v>
      </c>
      <c r="H81" s="6">
        <v>1118700</v>
      </c>
    </row>
    <row r="82" spans="1:8" ht="31.5" x14ac:dyDescent="0.25">
      <c r="A82" s="24" t="s">
        <v>83</v>
      </c>
      <c r="B82" s="8" t="s">
        <v>73</v>
      </c>
      <c r="C82" s="12" t="s">
        <v>75</v>
      </c>
      <c r="D82" s="8" t="s">
        <v>84</v>
      </c>
      <c r="E82" s="8" t="s">
        <v>14</v>
      </c>
      <c r="F82" s="6">
        <v>50000</v>
      </c>
      <c r="G82" s="6">
        <v>50000</v>
      </c>
      <c r="H82" s="6">
        <v>55000</v>
      </c>
    </row>
    <row r="83" spans="1:8" ht="47.25" x14ac:dyDescent="0.25">
      <c r="A83" s="24" t="s">
        <v>85</v>
      </c>
      <c r="B83" s="8" t="s">
        <v>73</v>
      </c>
      <c r="C83" s="12" t="s">
        <v>86</v>
      </c>
      <c r="D83" s="8" t="s">
        <v>87</v>
      </c>
      <c r="E83" s="8" t="s">
        <v>14</v>
      </c>
      <c r="F83" s="6">
        <v>74000</v>
      </c>
      <c r="G83" s="6">
        <v>74000</v>
      </c>
      <c r="H83" s="6">
        <v>74000</v>
      </c>
    </row>
    <row r="84" spans="1:8" ht="15.75" x14ac:dyDescent="0.25">
      <c r="A84" s="54" t="s">
        <v>88</v>
      </c>
      <c r="B84" s="55" t="s">
        <v>89</v>
      </c>
      <c r="C84" s="55"/>
      <c r="D84" s="55"/>
      <c r="E84" s="55"/>
      <c r="F84" s="56">
        <f>SUM(F85:F88)</f>
        <v>1258481.58</v>
      </c>
      <c r="G84" s="56">
        <f t="shared" ref="G84:H84" si="6">SUM(G85:G88)</f>
        <v>1150974.78</v>
      </c>
      <c r="H84" s="56">
        <f t="shared" si="6"/>
        <v>1150974.78</v>
      </c>
    </row>
    <row r="85" spans="1:8" ht="94.5" x14ac:dyDescent="0.25">
      <c r="A85" s="28" t="s">
        <v>90</v>
      </c>
      <c r="B85" s="9" t="s">
        <v>89</v>
      </c>
      <c r="C85" s="9" t="s">
        <v>91</v>
      </c>
      <c r="D85" s="13" t="s">
        <v>92</v>
      </c>
      <c r="E85" s="9" t="s">
        <v>12</v>
      </c>
      <c r="F85" s="10">
        <f>54542.17+52464.63</f>
        <v>107006.79999999999</v>
      </c>
      <c r="G85" s="10">
        <v>0</v>
      </c>
      <c r="H85" s="10">
        <v>0</v>
      </c>
    </row>
    <row r="86" spans="1:8" ht="78.75" x14ac:dyDescent="0.25">
      <c r="A86" s="24" t="s">
        <v>93</v>
      </c>
      <c r="B86" s="8" t="s">
        <v>89</v>
      </c>
      <c r="C86" s="8" t="s">
        <v>91</v>
      </c>
      <c r="D86" s="14" t="s">
        <v>94</v>
      </c>
      <c r="E86" s="8" t="s">
        <v>12</v>
      </c>
      <c r="F86" s="6">
        <v>922974.78</v>
      </c>
      <c r="G86" s="6">
        <v>922974.78</v>
      </c>
      <c r="H86" s="6">
        <v>922974.78</v>
      </c>
    </row>
    <row r="87" spans="1:8" ht="31.5" x14ac:dyDescent="0.25">
      <c r="A87" s="28" t="s">
        <v>194</v>
      </c>
      <c r="B87" s="9" t="s">
        <v>89</v>
      </c>
      <c r="C87" s="9" t="s">
        <v>91</v>
      </c>
      <c r="D87" s="13" t="s">
        <v>197</v>
      </c>
      <c r="E87" s="9" t="s">
        <v>16</v>
      </c>
      <c r="F87" s="10">
        <v>500</v>
      </c>
      <c r="G87" s="10">
        <v>0</v>
      </c>
      <c r="H87" s="10">
        <v>0</v>
      </c>
    </row>
    <row r="88" spans="1:8" ht="78.75" x14ac:dyDescent="0.25">
      <c r="A88" s="28" t="s">
        <v>95</v>
      </c>
      <c r="B88" s="9" t="s">
        <v>89</v>
      </c>
      <c r="C88" s="9" t="s">
        <v>91</v>
      </c>
      <c r="D88" s="13" t="s">
        <v>96</v>
      </c>
      <c r="E88" s="9" t="s">
        <v>12</v>
      </c>
      <c r="F88" s="10">
        <v>228000</v>
      </c>
      <c r="G88" s="10">
        <v>228000</v>
      </c>
      <c r="H88" s="10">
        <v>228000</v>
      </c>
    </row>
    <row r="89" spans="1:8" ht="15.75" x14ac:dyDescent="0.25">
      <c r="A89" s="54" t="s">
        <v>97</v>
      </c>
      <c r="B89" s="59" t="s">
        <v>98</v>
      </c>
      <c r="C89" s="59"/>
      <c r="D89" s="59"/>
      <c r="E89" s="59"/>
      <c r="F89" s="60">
        <f>SUM(F90:F176)</f>
        <v>123216651.93900004</v>
      </c>
      <c r="G89" s="60">
        <f>SUM(G90:G176)</f>
        <v>59628615.439999998</v>
      </c>
      <c r="H89" s="60">
        <f>SUM(H90:H176)</f>
        <v>59949173.630000003</v>
      </c>
    </row>
    <row r="90" spans="1:8" ht="78.75" x14ac:dyDescent="0.25">
      <c r="A90" s="24" t="s">
        <v>99</v>
      </c>
      <c r="B90" s="8" t="s">
        <v>98</v>
      </c>
      <c r="C90" s="8" t="s">
        <v>100</v>
      </c>
      <c r="D90" s="14" t="s">
        <v>101</v>
      </c>
      <c r="E90" s="8" t="s">
        <v>12</v>
      </c>
      <c r="F90" s="6">
        <v>1809780</v>
      </c>
      <c r="G90" s="6">
        <v>1809780</v>
      </c>
      <c r="H90" s="6">
        <v>1809780</v>
      </c>
    </row>
    <row r="91" spans="1:8" ht="63" x14ac:dyDescent="0.25">
      <c r="A91" s="23" t="s">
        <v>74</v>
      </c>
      <c r="B91" s="7" t="s">
        <v>98</v>
      </c>
      <c r="C91" s="7" t="s">
        <v>102</v>
      </c>
      <c r="D91" s="7" t="s">
        <v>76</v>
      </c>
      <c r="E91" s="7" t="s">
        <v>12</v>
      </c>
      <c r="F91" s="16">
        <f>33213813+198936.67+60078.88</f>
        <v>33472828.550000001</v>
      </c>
      <c r="G91" s="16">
        <v>33213813</v>
      </c>
      <c r="H91" s="16">
        <v>33213813</v>
      </c>
    </row>
    <row r="92" spans="1:8" ht="31.5" x14ac:dyDescent="0.25">
      <c r="A92" s="24" t="s">
        <v>77</v>
      </c>
      <c r="B92" s="8" t="s">
        <v>98</v>
      </c>
      <c r="C92" s="8" t="s">
        <v>102</v>
      </c>
      <c r="D92" s="7" t="s">
        <v>76</v>
      </c>
      <c r="E92" s="8" t="s">
        <v>14</v>
      </c>
      <c r="F92" s="6">
        <f>250000+16000</f>
        <v>266000</v>
      </c>
      <c r="G92" s="6">
        <v>0</v>
      </c>
      <c r="H92" s="6">
        <v>0</v>
      </c>
    </row>
    <row r="93" spans="1:8" ht="31.5" x14ac:dyDescent="0.25">
      <c r="A93" s="24" t="s">
        <v>78</v>
      </c>
      <c r="B93" s="8" t="s">
        <v>98</v>
      </c>
      <c r="C93" s="8" t="s">
        <v>102</v>
      </c>
      <c r="D93" s="7" t="s">
        <v>76</v>
      </c>
      <c r="E93" s="8" t="s">
        <v>16</v>
      </c>
      <c r="F93" s="6">
        <v>16000</v>
      </c>
      <c r="G93" s="6">
        <v>0</v>
      </c>
      <c r="H93" s="6">
        <v>0</v>
      </c>
    </row>
    <row r="94" spans="1:8" ht="94.5" x14ac:dyDescent="0.25">
      <c r="A94" s="24" t="s">
        <v>79</v>
      </c>
      <c r="B94" s="8" t="s">
        <v>98</v>
      </c>
      <c r="C94" s="8" t="s">
        <v>102</v>
      </c>
      <c r="D94" s="7" t="s">
        <v>80</v>
      </c>
      <c r="E94" s="8" t="s">
        <v>12</v>
      </c>
      <c r="F94" s="6">
        <v>75524.98</v>
      </c>
      <c r="G94" s="6">
        <v>0</v>
      </c>
      <c r="H94" s="6">
        <v>0</v>
      </c>
    </row>
    <row r="95" spans="1:8" ht="78.75" x14ac:dyDescent="0.25">
      <c r="A95" s="24" t="s">
        <v>202</v>
      </c>
      <c r="B95" s="8" t="s">
        <v>98</v>
      </c>
      <c r="C95" s="8" t="s">
        <v>102</v>
      </c>
      <c r="D95" s="14" t="s">
        <v>103</v>
      </c>
      <c r="E95" s="8" t="s">
        <v>12</v>
      </c>
      <c r="F95" s="6">
        <v>555869.91</v>
      </c>
      <c r="G95" s="6">
        <v>587755.15</v>
      </c>
      <c r="H95" s="6">
        <v>587755.15</v>
      </c>
    </row>
    <row r="96" spans="1:8" ht="63" x14ac:dyDescent="0.25">
      <c r="A96" s="24" t="s">
        <v>209</v>
      </c>
      <c r="B96" s="8" t="s">
        <v>98</v>
      </c>
      <c r="C96" s="8" t="s">
        <v>104</v>
      </c>
      <c r="D96" s="14" t="s">
        <v>105</v>
      </c>
      <c r="E96" s="8" t="s">
        <v>14</v>
      </c>
      <c r="F96" s="6">
        <f>1273.98-1273.98</f>
        <v>0</v>
      </c>
      <c r="G96" s="6">
        <v>1329.93</v>
      </c>
      <c r="H96" s="6">
        <v>1177.1300000000001</v>
      </c>
    </row>
    <row r="97" spans="1:8" ht="31.5" x14ac:dyDescent="0.25">
      <c r="A97" s="24" t="s">
        <v>106</v>
      </c>
      <c r="B97" s="8" t="s">
        <v>98</v>
      </c>
      <c r="C97" s="8" t="s">
        <v>107</v>
      </c>
      <c r="D97" s="17" t="s">
        <v>108</v>
      </c>
      <c r="E97" s="8" t="s">
        <v>16</v>
      </c>
      <c r="F97" s="6">
        <v>500000</v>
      </c>
      <c r="G97" s="6">
        <v>500000</v>
      </c>
      <c r="H97" s="6">
        <v>500000</v>
      </c>
    </row>
    <row r="98" spans="1:8" ht="47.25" x14ac:dyDescent="0.25">
      <c r="A98" s="24" t="s">
        <v>109</v>
      </c>
      <c r="B98" s="8" t="s">
        <v>98</v>
      </c>
      <c r="C98" s="8" t="s">
        <v>110</v>
      </c>
      <c r="D98" s="8" t="s">
        <v>111</v>
      </c>
      <c r="E98" s="8" t="s">
        <v>14</v>
      </c>
      <c r="F98" s="6">
        <v>50000</v>
      </c>
      <c r="G98" s="6">
        <v>50000</v>
      </c>
      <c r="H98" s="6">
        <v>50000</v>
      </c>
    </row>
    <row r="99" spans="1:8" ht="31.5" x14ac:dyDescent="0.25">
      <c r="A99" s="24" t="s">
        <v>112</v>
      </c>
      <c r="B99" s="8" t="s">
        <v>98</v>
      </c>
      <c r="C99" s="8" t="s">
        <v>110</v>
      </c>
      <c r="D99" s="8" t="s">
        <v>113</v>
      </c>
      <c r="E99" s="8" t="s">
        <v>14</v>
      </c>
      <c r="F99" s="6">
        <f>686000+669013</f>
        <v>1355013</v>
      </c>
      <c r="G99" s="6">
        <v>686000</v>
      </c>
      <c r="H99" s="6">
        <v>686000</v>
      </c>
    </row>
    <row r="100" spans="1:8" ht="63" x14ac:dyDescent="0.25">
      <c r="A100" s="24" t="s">
        <v>114</v>
      </c>
      <c r="B100" s="8" t="s">
        <v>98</v>
      </c>
      <c r="C100" s="8" t="s">
        <v>110</v>
      </c>
      <c r="D100" s="8" t="s">
        <v>115</v>
      </c>
      <c r="E100" s="8" t="s">
        <v>14</v>
      </c>
      <c r="F100" s="6">
        <v>100000</v>
      </c>
      <c r="G100" s="6">
        <v>100000</v>
      </c>
      <c r="H100" s="6">
        <v>100000</v>
      </c>
    </row>
    <row r="101" spans="1:8" ht="47.25" x14ac:dyDescent="0.25">
      <c r="A101" s="25" t="s">
        <v>116</v>
      </c>
      <c r="B101" s="8" t="s">
        <v>98</v>
      </c>
      <c r="C101" s="8" t="s">
        <v>110</v>
      </c>
      <c r="D101" s="8" t="s">
        <v>117</v>
      </c>
      <c r="E101" s="8" t="s">
        <v>14</v>
      </c>
      <c r="F101" s="18">
        <v>200000</v>
      </c>
      <c r="G101" s="18">
        <v>200000</v>
      </c>
      <c r="H101" s="18">
        <v>200000</v>
      </c>
    </row>
    <row r="102" spans="1:8" ht="47.25" x14ac:dyDescent="0.25">
      <c r="A102" s="24" t="s">
        <v>118</v>
      </c>
      <c r="B102" s="8" t="s">
        <v>98</v>
      </c>
      <c r="C102" s="8" t="s">
        <v>110</v>
      </c>
      <c r="D102" s="8" t="s">
        <v>119</v>
      </c>
      <c r="E102" s="8" t="s">
        <v>14</v>
      </c>
      <c r="F102" s="6">
        <v>71280.899999999994</v>
      </c>
      <c r="G102" s="6">
        <v>71280.899999999994</v>
      </c>
      <c r="H102" s="6">
        <v>78410</v>
      </c>
    </row>
    <row r="103" spans="1:8" ht="31.5" x14ac:dyDescent="0.25">
      <c r="A103" s="23" t="s">
        <v>83</v>
      </c>
      <c r="B103" s="19" t="s">
        <v>98</v>
      </c>
      <c r="C103" s="19" t="s">
        <v>110</v>
      </c>
      <c r="D103" s="20" t="s">
        <v>84</v>
      </c>
      <c r="E103" s="19" t="s">
        <v>14</v>
      </c>
      <c r="F103" s="18">
        <v>155000</v>
      </c>
      <c r="G103" s="18">
        <v>155000</v>
      </c>
      <c r="H103" s="18">
        <v>170500</v>
      </c>
    </row>
    <row r="104" spans="1:8" ht="78.75" x14ac:dyDescent="0.25">
      <c r="A104" s="23" t="s">
        <v>120</v>
      </c>
      <c r="B104" s="19" t="s">
        <v>98</v>
      </c>
      <c r="C104" s="19" t="s">
        <v>110</v>
      </c>
      <c r="D104" s="20" t="s">
        <v>121</v>
      </c>
      <c r="E104" s="19" t="s">
        <v>14</v>
      </c>
      <c r="F104" s="18">
        <v>5000</v>
      </c>
      <c r="G104" s="18">
        <v>5000</v>
      </c>
      <c r="H104" s="18">
        <v>5000</v>
      </c>
    </row>
    <row r="105" spans="1:8" ht="63" x14ac:dyDescent="0.25">
      <c r="A105" s="23" t="s">
        <v>122</v>
      </c>
      <c r="B105" s="19" t="s">
        <v>98</v>
      </c>
      <c r="C105" s="19" t="s">
        <v>110</v>
      </c>
      <c r="D105" s="20" t="s">
        <v>123</v>
      </c>
      <c r="E105" s="19" t="s">
        <v>60</v>
      </c>
      <c r="F105" s="18">
        <v>800</v>
      </c>
      <c r="G105" s="18">
        <v>800</v>
      </c>
      <c r="H105" s="18">
        <v>800</v>
      </c>
    </row>
    <row r="106" spans="1:8" ht="31.5" x14ac:dyDescent="0.25">
      <c r="A106" s="23" t="s">
        <v>124</v>
      </c>
      <c r="B106" s="19" t="s">
        <v>98</v>
      </c>
      <c r="C106" s="19" t="s">
        <v>110</v>
      </c>
      <c r="D106" s="20" t="s">
        <v>125</v>
      </c>
      <c r="E106" s="19" t="s">
        <v>14</v>
      </c>
      <c r="F106" s="18">
        <v>15000</v>
      </c>
      <c r="G106" s="18">
        <v>15000</v>
      </c>
      <c r="H106" s="18">
        <v>15000</v>
      </c>
    </row>
    <row r="107" spans="1:8" ht="47.25" x14ac:dyDescent="0.25">
      <c r="A107" s="23" t="s">
        <v>213</v>
      </c>
      <c r="B107" s="19" t="s">
        <v>98</v>
      </c>
      <c r="C107" s="19" t="s">
        <v>110</v>
      </c>
      <c r="D107" s="20" t="s">
        <v>126</v>
      </c>
      <c r="E107" s="19" t="s">
        <v>14</v>
      </c>
      <c r="F107" s="18">
        <v>40000</v>
      </c>
      <c r="G107" s="18">
        <v>40000</v>
      </c>
      <c r="H107" s="18">
        <v>40000</v>
      </c>
    </row>
    <row r="108" spans="1:8" ht="31.5" x14ac:dyDescent="0.25">
      <c r="A108" s="23" t="s">
        <v>62</v>
      </c>
      <c r="B108" s="19" t="s">
        <v>98</v>
      </c>
      <c r="C108" s="19" t="s">
        <v>110</v>
      </c>
      <c r="D108" s="20" t="s">
        <v>127</v>
      </c>
      <c r="E108" s="19" t="s">
        <v>60</v>
      </c>
      <c r="F108" s="18">
        <v>44000</v>
      </c>
      <c r="G108" s="18">
        <v>88000</v>
      </c>
      <c r="H108" s="18">
        <v>88000</v>
      </c>
    </row>
    <row r="109" spans="1:8" ht="31.5" x14ac:dyDescent="0.25">
      <c r="A109" s="23" t="s">
        <v>128</v>
      </c>
      <c r="B109" s="19" t="s">
        <v>98</v>
      </c>
      <c r="C109" s="19" t="s">
        <v>110</v>
      </c>
      <c r="D109" s="20" t="s">
        <v>129</v>
      </c>
      <c r="E109" s="19" t="s">
        <v>14</v>
      </c>
      <c r="F109" s="18">
        <v>0</v>
      </c>
      <c r="G109" s="18">
        <v>0</v>
      </c>
      <c r="H109" s="18">
        <v>0</v>
      </c>
    </row>
    <row r="110" spans="1:8" ht="47.25" x14ac:dyDescent="0.25">
      <c r="A110" s="31" t="s">
        <v>130</v>
      </c>
      <c r="B110" s="8" t="s">
        <v>98</v>
      </c>
      <c r="C110" s="8" t="s">
        <v>110</v>
      </c>
      <c r="D110" s="8" t="s">
        <v>131</v>
      </c>
      <c r="E110" s="8" t="s">
        <v>14</v>
      </c>
      <c r="F110" s="6">
        <v>3000</v>
      </c>
      <c r="G110" s="6">
        <v>3000</v>
      </c>
      <c r="H110" s="6">
        <v>3000</v>
      </c>
    </row>
    <row r="111" spans="1:8" ht="47.25" x14ac:dyDescent="0.25">
      <c r="A111" s="31" t="s">
        <v>258</v>
      </c>
      <c r="B111" s="8" t="s">
        <v>98</v>
      </c>
      <c r="C111" s="8" t="s">
        <v>110</v>
      </c>
      <c r="D111" s="8" t="s">
        <v>217</v>
      </c>
      <c r="E111" s="8" t="s">
        <v>14</v>
      </c>
      <c r="F111" s="6">
        <f>150000-91149.72</f>
        <v>58850.28</v>
      </c>
      <c r="G111" s="6">
        <v>0</v>
      </c>
      <c r="H111" s="6">
        <v>0</v>
      </c>
    </row>
    <row r="112" spans="1:8" ht="54.75" customHeight="1" x14ac:dyDescent="0.25">
      <c r="A112" s="31" t="s">
        <v>305</v>
      </c>
      <c r="B112" s="8" t="s">
        <v>98</v>
      </c>
      <c r="C112" s="8" t="s">
        <v>110</v>
      </c>
      <c r="D112" s="8" t="s">
        <v>304</v>
      </c>
      <c r="E112" s="8" t="s">
        <v>14</v>
      </c>
      <c r="F112" s="6">
        <f>1731844.62+91149.72</f>
        <v>1822994.34</v>
      </c>
      <c r="G112" s="6">
        <v>0</v>
      </c>
      <c r="H112" s="6">
        <v>0</v>
      </c>
    </row>
    <row r="113" spans="1:11" ht="50.25" customHeight="1" x14ac:dyDescent="0.25">
      <c r="A113" s="31" t="s">
        <v>259</v>
      </c>
      <c r="B113" s="8" t="s">
        <v>98</v>
      </c>
      <c r="C113" s="8" t="s">
        <v>110</v>
      </c>
      <c r="D113" s="8" t="s">
        <v>256</v>
      </c>
      <c r="E113" s="8" t="s">
        <v>14</v>
      </c>
      <c r="F113" s="6">
        <v>20000</v>
      </c>
      <c r="G113" s="6">
        <v>40000</v>
      </c>
      <c r="H113" s="6">
        <v>60000</v>
      </c>
    </row>
    <row r="114" spans="1:11" ht="47.25" x14ac:dyDescent="0.25">
      <c r="A114" s="31" t="s">
        <v>260</v>
      </c>
      <c r="B114" s="8" t="s">
        <v>98</v>
      </c>
      <c r="C114" s="8" t="s">
        <v>110</v>
      </c>
      <c r="D114" s="8" t="s">
        <v>257</v>
      </c>
      <c r="E114" s="8" t="s">
        <v>14</v>
      </c>
      <c r="F114" s="6">
        <v>150000</v>
      </c>
      <c r="G114" s="6">
        <v>150000</v>
      </c>
      <c r="H114" s="6">
        <v>150000</v>
      </c>
    </row>
    <row r="115" spans="1:11" ht="31.5" x14ac:dyDescent="0.25">
      <c r="A115" s="31" t="s">
        <v>230</v>
      </c>
      <c r="B115" s="8" t="s">
        <v>98</v>
      </c>
      <c r="C115" s="8" t="s">
        <v>110</v>
      </c>
      <c r="D115" s="8" t="s">
        <v>159</v>
      </c>
      <c r="E115" s="8" t="s">
        <v>14</v>
      </c>
      <c r="F115" s="6">
        <v>1</v>
      </c>
      <c r="G115" s="6">
        <f>5184480-5184480</f>
        <v>0</v>
      </c>
      <c r="H115" s="6">
        <f>10491063-10491063</f>
        <v>0</v>
      </c>
      <c r="J115" s="5"/>
      <c r="K115" s="5"/>
    </row>
    <row r="116" spans="1:11" ht="31.5" x14ac:dyDescent="0.25">
      <c r="A116" s="31" t="s">
        <v>230</v>
      </c>
      <c r="B116" s="8" t="s">
        <v>98</v>
      </c>
      <c r="C116" s="8" t="s">
        <v>110</v>
      </c>
      <c r="D116" s="8" t="s">
        <v>159</v>
      </c>
      <c r="E116" s="8" t="s">
        <v>16</v>
      </c>
      <c r="F116" s="6">
        <v>0</v>
      </c>
      <c r="G116" s="6">
        <f>5184480-5184480+79501.33</f>
        <v>79501.33</v>
      </c>
      <c r="H116" s="6">
        <f>10491063-10491063+80558.09</f>
        <v>80558.09</v>
      </c>
      <c r="J116" s="5"/>
      <c r="K116" s="5"/>
    </row>
    <row r="117" spans="1:11" ht="31.5" x14ac:dyDescent="0.25">
      <c r="A117" s="31" t="s">
        <v>281</v>
      </c>
      <c r="B117" s="8" t="s">
        <v>98</v>
      </c>
      <c r="C117" s="8" t="s">
        <v>110</v>
      </c>
      <c r="D117" s="8" t="s">
        <v>282</v>
      </c>
      <c r="E117" s="8" t="s">
        <v>16</v>
      </c>
      <c r="F117" s="6">
        <f>3696521.05-1</f>
        <v>3696520.05</v>
      </c>
      <c r="G117" s="6">
        <v>0</v>
      </c>
      <c r="H117" s="6">
        <v>0</v>
      </c>
      <c r="J117" s="5"/>
      <c r="K117" s="5"/>
    </row>
    <row r="118" spans="1:11" ht="31.5" x14ac:dyDescent="0.25">
      <c r="A118" s="24" t="s">
        <v>195</v>
      </c>
      <c r="B118" s="8" t="s">
        <v>98</v>
      </c>
      <c r="C118" s="8" t="s">
        <v>110</v>
      </c>
      <c r="D118" s="8" t="s">
        <v>132</v>
      </c>
      <c r="E118" s="8" t="s">
        <v>60</v>
      </c>
      <c r="F118" s="6">
        <v>27500</v>
      </c>
      <c r="G118" s="6">
        <v>27500</v>
      </c>
      <c r="H118" s="6">
        <v>27500</v>
      </c>
    </row>
    <row r="119" spans="1:11" ht="47.25" x14ac:dyDescent="0.25">
      <c r="A119" s="24" t="s">
        <v>229</v>
      </c>
      <c r="B119" s="8" t="s">
        <v>98</v>
      </c>
      <c r="C119" s="8" t="s">
        <v>110</v>
      </c>
      <c r="D119" s="8" t="s">
        <v>133</v>
      </c>
      <c r="E119" s="8" t="s">
        <v>14</v>
      </c>
      <c r="F119" s="6">
        <v>11357</v>
      </c>
      <c r="G119" s="6">
        <v>11669</v>
      </c>
      <c r="H119" s="6">
        <v>11669</v>
      </c>
    </row>
    <row r="120" spans="1:11" ht="67.5" customHeight="1" x14ac:dyDescent="0.25">
      <c r="A120" s="24" t="s">
        <v>287</v>
      </c>
      <c r="B120" s="8" t="s">
        <v>98</v>
      </c>
      <c r="C120" s="8" t="s">
        <v>110</v>
      </c>
      <c r="D120" s="8" t="s">
        <v>288</v>
      </c>
      <c r="E120" s="8" t="s">
        <v>155</v>
      </c>
      <c r="F120" s="6">
        <f>344526.53+78960.34+577364.53-423486.87</f>
        <v>577364.53</v>
      </c>
      <c r="G120" s="6">
        <v>0</v>
      </c>
      <c r="H120" s="6">
        <v>0</v>
      </c>
    </row>
    <row r="121" spans="1:11" ht="31.5" x14ac:dyDescent="0.25">
      <c r="A121" s="24" t="s">
        <v>236</v>
      </c>
      <c r="B121" s="8" t="s">
        <v>98</v>
      </c>
      <c r="C121" s="8" t="s">
        <v>110</v>
      </c>
      <c r="D121" s="8" t="s">
        <v>134</v>
      </c>
      <c r="E121" s="8" t="s">
        <v>16</v>
      </c>
      <c r="F121" s="6">
        <f>58345+10937</f>
        <v>69282</v>
      </c>
      <c r="G121" s="6">
        <v>0</v>
      </c>
      <c r="H121" s="6">
        <v>0</v>
      </c>
    </row>
    <row r="122" spans="1:11" ht="47.25" x14ac:dyDescent="0.25">
      <c r="A122" s="24" t="s">
        <v>135</v>
      </c>
      <c r="B122" s="8" t="s">
        <v>98</v>
      </c>
      <c r="C122" s="8" t="s">
        <v>136</v>
      </c>
      <c r="D122" s="8" t="s">
        <v>137</v>
      </c>
      <c r="E122" s="8" t="s">
        <v>14</v>
      </c>
      <c r="F122" s="6">
        <f>100000-32227</f>
        <v>67773</v>
      </c>
      <c r="G122" s="6">
        <v>100000</v>
      </c>
      <c r="H122" s="6">
        <v>100000</v>
      </c>
    </row>
    <row r="123" spans="1:11" ht="63" x14ac:dyDescent="0.25">
      <c r="A123" s="24" t="s">
        <v>218</v>
      </c>
      <c r="B123" s="8" t="s">
        <v>98</v>
      </c>
      <c r="C123" s="8" t="s">
        <v>136</v>
      </c>
      <c r="D123" s="8" t="s">
        <v>216</v>
      </c>
      <c r="E123" s="8" t="s">
        <v>14</v>
      </c>
      <c r="F123" s="6">
        <v>11000</v>
      </c>
      <c r="G123" s="6">
        <v>12000</v>
      </c>
      <c r="H123" s="6">
        <v>13000</v>
      </c>
    </row>
    <row r="124" spans="1:11" ht="15.75" x14ac:dyDescent="0.25">
      <c r="A124" s="28" t="s">
        <v>276</v>
      </c>
      <c r="B124" s="9" t="s">
        <v>98</v>
      </c>
      <c r="C124" s="9" t="s">
        <v>136</v>
      </c>
      <c r="D124" s="8" t="s">
        <v>175</v>
      </c>
      <c r="E124" s="9" t="s">
        <v>155</v>
      </c>
      <c r="F124" s="10">
        <v>100000</v>
      </c>
      <c r="G124" s="10">
        <f>1500000-1500000</f>
        <v>0</v>
      </c>
      <c r="H124" s="10">
        <f>1500000-1500000</f>
        <v>0</v>
      </c>
    </row>
    <row r="125" spans="1:11" ht="47.25" x14ac:dyDescent="0.25">
      <c r="A125" s="24" t="s">
        <v>237</v>
      </c>
      <c r="B125" s="8" t="s">
        <v>98</v>
      </c>
      <c r="C125" s="8" t="s">
        <v>138</v>
      </c>
      <c r="D125" s="8" t="s">
        <v>238</v>
      </c>
      <c r="E125" s="8" t="s">
        <v>14</v>
      </c>
      <c r="F125" s="6">
        <f>1250</f>
        <v>1250</v>
      </c>
      <c r="G125" s="6">
        <v>0</v>
      </c>
      <c r="H125" s="6">
        <v>0</v>
      </c>
    </row>
    <row r="126" spans="1:11" ht="63" x14ac:dyDescent="0.25">
      <c r="A126" s="24" t="s">
        <v>139</v>
      </c>
      <c r="B126" s="8" t="s">
        <v>98</v>
      </c>
      <c r="C126" s="8" t="s">
        <v>138</v>
      </c>
      <c r="D126" s="8" t="s">
        <v>140</v>
      </c>
      <c r="E126" s="8" t="s">
        <v>14</v>
      </c>
      <c r="F126" s="6">
        <v>175404.9</v>
      </c>
      <c r="G126" s="6">
        <v>42542.32</v>
      </c>
      <c r="H126" s="6">
        <v>42542.32</v>
      </c>
    </row>
    <row r="127" spans="1:11" ht="47.25" x14ac:dyDescent="0.25">
      <c r="A127" s="23" t="s">
        <v>141</v>
      </c>
      <c r="B127" s="20" t="s">
        <v>98</v>
      </c>
      <c r="C127" s="20" t="s">
        <v>138</v>
      </c>
      <c r="D127" s="20" t="s">
        <v>142</v>
      </c>
      <c r="E127" s="20" t="s">
        <v>14</v>
      </c>
      <c r="F127" s="21">
        <f>30000-30000+30000-21600+21600</f>
        <v>30000</v>
      </c>
      <c r="G127" s="21">
        <v>30000</v>
      </c>
      <c r="H127" s="21">
        <v>30000</v>
      </c>
    </row>
    <row r="128" spans="1:11" ht="31.5" x14ac:dyDescent="0.25">
      <c r="A128" s="23" t="s">
        <v>150</v>
      </c>
      <c r="B128" s="20" t="s">
        <v>98</v>
      </c>
      <c r="C128" s="20" t="s">
        <v>138</v>
      </c>
      <c r="D128" s="20" t="s">
        <v>310</v>
      </c>
      <c r="E128" s="20" t="s">
        <v>14</v>
      </c>
      <c r="F128" s="21">
        <v>9770.5300000000007</v>
      </c>
      <c r="G128" s="21">
        <v>0</v>
      </c>
      <c r="H128" s="21">
        <v>0</v>
      </c>
    </row>
    <row r="129" spans="1:8" ht="53.25" customHeight="1" x14ac:dyDescent="0.25">
      <c r="A129" s="23" t="s">
        <v>302</v>
      </c>
      <c r="B129" s="20" t="s">
        <v>98</v>
      </c>
      <c r="C129" s="20" t="s">
        <v>138</v>
      </c>
      <c r="D129" s="20" t="s">
        <v>303</v>
      </c>
      <c r="E129" s="20" t="s">
        <v>14</v>
      </c>
      <c r="F129" s="21">
        <v>21600</v>
      </c>
      <c r="G129" s="21">
        <v>0</v>
      </c>
      <c r="H129" s="21">
        <v>0</v>
      </c>
    </row>
    <row r="130" spans="1:8" ht="47.25" x14ac:dyDescent="0.25">
      <c r="A130" s="24" t="s">
        <v>272</v>
      </c>
      <c r="B130" s="8" t="s">
        <v>98</v>
      </c>
      <c r="C130" s="8" t="s">
        <v>138</v>
      </c>
      <c r="D130" s="8" t="s">
        <v>263</v>
      </c>
      <c r="E130" s="8" t="s">
        <v>14</v>
      </c>
      <c r="F130" s="6">
        <v>11484.17</v>
      </c>
      <c r="G130" s="6">
        <v>53266.99</v>
      </c>
      <c r="H130" s="6">
        <v>58449.71</v>
      </c>
    </row>
    <row r="131" spans="1:8" ht="31.5" x14ac:dyDescent="0.25">
      <c r="A131" s="24" t="s">
        <v>143</v>
      </c>
      <c r="B131" s="20" t="s">
        <v>98</v>
      </c>
      <c r="C131" s="20" t="s">
        <v>144</v>
      </c>
      <c r="D131" s="8" t="s">
        <v>145</v>
      </c>
      <c r="E131" s="20" t="s">
        <v>16</v>
      </c>
      <c r="F131" s="21">
        <f>243000+624035.5+32227</f>
        <v>899262.5</v>
      </c>
      <c r="G131" s="21">
        <v>200000</v>
      </c>
      <c r="H131" s="21">
        <v>200000</v>
      </c>
    </row>
    <row r="132" spans="1:8" ht="31.5" x14ac:dyDescent="0.25">
      <c r="A132" s="23" t="s">
        <v>205</v>
      </c>
      <c r="B132" s="20" t="s">
        <v>98</v>
      </c>
      <c r="C132" s="20" t="s">
        <v>144</v>
      </c>
      <c r="D132" s="20" t="s">
        <v>146</v>
      </c>
      <c r="E132" s="20" t="s">
        <v>16</v>
      </c>
      <c r="F132" s="21">
        <f>1815662.58+95561.19-1911223.77</f>
        <v>0</v>
      </c>
      <c r="G132" s="21">
        <f>1510525.28+79501.33-1510525.28-79501.33</f>
        <v>0</v>
      </c>
      <c r="H132" s="21">
        <f>1530603.62+80558.09-1530603.62-80558.09</f>
        <v>0</v>
      </c>
    </row>
    <row r="133" spans="1:8" ht="47.25" x14ac:dyDescent="0.25">
      <c r="A133" s="23" t="s">
        <v>214</v>
      </c>
      <c r="B133" s="7" t="s">
        <v>98</v>
      </c>
      <c r="C133" s="7" t="s">
        <v>264</v>
      </c>
      <c r="D133" s="15" t="s">
        <v>220</v>
      </c>
      <c r="E133" s="20" t="s">
        <v>14</v>
      </c>
      <c r="F133" s="21">
        <f>4775104.13-1275104.13</f>
        <v>3500000</v>
      </c>
      <c r="G133" s="21">
        <f>4883864.13-1083864.13</f>
        <v>3800000</v>
      </c>
      <c r="H133" s="21">
        <f>4883864.13-783864.13</f>
        <v>4100000</v>
      </c>
    </row>
    <row r="134" spans="1:8" ht="157.5" x14ac:dyDescent="0.25">
      <c r="A134" s="23" t="s">
        <v>153</v>
      </c>
      <c r="B134" s="20" t="s">
        <v>98</v>
      </c>
      <c r="C134" s="20" t="s">
        <v>148</v>
      </c>
      <c r="D134" s="20" t="s">
        <v>154</v>
      </c>
      <c r="E134" s="20" t="s">
        <v>14</v>
      </c>
      <c r="F134" s="21">
        <f>2715515.72-2715515.72</f>
        <v>0</v>
      </c>
      <c r="G134" s="21">
        <v>2715515.72</v>
      </c>
      <c r="H134" s="21">
        <v>2715515.72</v>
      </c>
    </row>
    <row r="135" spans="1:8" ht="141.75" x14ac:dyDescent="0.25">
      <c r="A135" s="23" t="s">
        <v>265</v>
      </c>
      <c r="B135" s="20" t="s">
        <v>98</v>
      </c>
      <c r="C135" s="20" t="s">
        <v>148</v>
      </c>
      <c r="D135" s="20" t="s">
        <v>154</v>
      </c>
      <c r="E135" s="20" t="s">
        <v>155</v>
      </c>
      <c r="F135" s="21">
        <f>2715515.72*10%+2715515.72+94336.68</f>
        <v>3081403.9720000005</v>
      </c>
      <c r="G135" s="21">
        <v>0</v>
      </c>
      <c r="H135" s="21">
        <v>0</v>
      </c>
    </row>
    <row r="136" spans="1:8" ht="157.5" x14ac:dyDescent="0.25">
      <c r="A136" s="23" t="s">
        <v>156</v>
      </c>
      <c r="B136" s="20" t="s">
        <v>98</v>
      </c>
      <c r="C136" s="20" t="s">
        <v>148</v>
      </c>
      <c r="D136" s="20" t="s">
        <v>157</v>
      </c>
      <c r="E136" s="20" t="s">
        <v>14</v>
      </c>
      <c r="F136" s="21">
        <f>1472278.57-1472278.57</f>
        <v>0</v>
      </c>
      <c r="G136" s="21">
        <v>1472278.57</v>
      </c>
      <c r="H136" s="21">
        <v>1472278.57</v>
      </c>
    </row>
    <row r="137" spans="1:8" ht="141.75" x14ac:dyDescent="0.25">
      <c r="A137" s="23" t="s">
        <v>266</v>
      </c>
      <c r="B137" s="20" t="s">
        <v>98</v>
      </c>
      <c r="C137" s="20" t="s">
        <v>148</v>
      </c>
      <c r="D137" s="20" t="s">
        <v>157</v>
      </c>
      <c r="E137" s="20" t="s">
        <v>155</v>
      </c>
      <c r="F137" s="21">
        <f>1472278.57*10%+1472278.57+10104.88</f>
        <v>1629611.307</v>
      </c>
      <c r="G137" s="21">
        <v>0</v>
      </c>
      <c r="H137" s="21">
        <v>0</v>
      </c>
    </row>
    <row r="138" spans="1:8" ht="47.25" x14ac:dyDescent="0.25">
      <c r="A138" s="23" t="s">
        <v>147</v>
      </c>
      <c r="B138" s="20" t="s">
        <v>98</v>
      </c>
      <c r="C138" s="20" t="s">
        <v>148</v>
      </c>
      <c r="D138" s="20" t="s">
        <v>149</v>
      </c>
      <c r="E138" s="20" t="s">
        <v>14</v>
      </c>
      <c r="F138" s="21">
        <v>48000</v>
      </c>
      <c r="G138" s="21">
        <v>0</v>
      </c>
      <c r="H138" s="21">
        <v>0</v>
      </c>
    </row>
    <row r="139" spans="1:8" ht="31.5" x14ac:dyDescent="0.25">
      <c r="A139" s="24" t="s">
        <v>150</v>
      </c>
      <c r="B139" s="20" t="s">
        <v>98</v>
      </c>
      <c r="C139" s="20" t="s">
        <v>148</v>
      </c>
      <c r="D139" s="20" t="s">
        <v>151</v>
      </c>
      <c r="E139" s="20" t="s">
        <v>14</v>
      </c>
      <c r="F139" s="21">
        <v>1071155.6399999999</v>
      </c>
      <c r="G139" s="21">
        <v>0</v>
      </c>
      <c r="H139" s="21">
        <v>0</v>
      </c>
    </row>
    <row r="140" spans="1:8" ht="36.75" customHeight="1" x14ac:dyDescent="0.25">
      <c r="A140" s="24" t="s">
        <v>307</v>
      </c>
      <c r="B140" s="20" t="s">
        <v>98</v>
      </c>
      <c r="C140" s="20" t="s">
        <v>148</v>
      </c>
      <c r="D140" s="20" t="s">
        <v>306</v>
      </c>
      <c r="E140" s="20" t="s">
        <v>14</v>
      </c>
      <c r="F140" s="21">
        <v>10000</v>
      </c>
      <c r="G140" s="21">
        <v>0</v>
      </c>
      <c r="H140" s="21">
        <v>0</v>
      </c>
    </row>
    <row r="141" spans="1:8" ht="78.75" x14ac:dyDescent="0.25">
      <c r="A141" s="34" t="s">
        <v>235</v>
      </c>
      <c r="B141" s="7" t="s">
        <v>98</v>
      </c>
      <c r="C141" s="7" t="s">
        <v>148</v>
      </c>
      <c r="D141" s="15" t="s">
        <v>152</v>
      </c>
      <c r="E141" s="20" t="s">
        <v>14</v>
      </c>
      <c r="F141" s="21">
        <f>6430432.75+338443.83+613259.42</f>
        <v>7382136</v>
      </c>
      <c r="G141" s="21">
        <v>0</v>
      </c>
      <c r="H141" s="21">
        <v>0</v>
      </c>
    </row>
    <row r="142" spans="1:8" ht="47.25" x14ac:dyDescent="0.25">
      <c r="A142" s="23" t="s">
        <v>251</v>
      </c>
      <c r="B142" s="7" t="s">
        <v>98</v>
      </c>
      <c r="C142" s="7" t="s">
        <v>148</v>
      </c>
      <c r="D142" s="15" t="s">
        <v>289</v>
      </c>
      <c r="E142" s="20" t="s">
        <v>14</v>
      </c>
      <c r="F142" s="21">
        <f>2165195-2165195</f>
        <v>0</v>
      </c>
      <c r="G142" s="21">
        <v>0</v>
      </c>
      <c r="H142" s="21">
        <v>0</v>
      </c>
    </row>
    <row r="143" spans="1:8" ht="47.25" x14ac:dyDescent="0.25">
      <c r="A143" s="23" t="s">
        <v>251</v>
      </c>
      <c r="B143" s="7" t="s">
        <v>98</v>
      </c>
      <c r="C143" s="7" t="s">
        <v>148</v>
      </c>
      <c r="D143" s="15" t="s">
        <v>250</v>
      </c>
      <c r="E143" s="20" t="s">
        <v>14</v>
      </c>
      <c r="F143" s="21">
        <f>2165195-2165195</f>
        <v>0</v>
      </c>
      <c r="G143" s="21">
        <v>0</v>
      </c>
      <c r="H143" s="21">
        <v>0</v>
      </c>
    </row>
    <row r="144" spans="1:8" ht="47.25" x14ac:dyDescent="0.25">
      <c r="A144" s="23" t="s">
        <v>293</v>
      </c>
      <c r="B144" s="7" t="s">
        <v>98</v>
      </c>
      <c r="C144" s="7" t="s">
        <v>148</v>
      </c>
      <c r="D144" s="15" t="s">
        <v>292</v>
      </c>
      <c r="E144" s="20" t="s">
        <v>14</v>
      </c>
      <c r="F144" s="21">
        <f>39139040.04+2165195</f>
        <v>41304235.039999999</v>
      </c>
      <c r="G144" s="21">
        <v>0</v>
      </c>
      <c r="H144" s="21">
        <v>0</v>
      </c>
    </row>
    <row r="145" spans="1:8" ht="15.75" x14ac:dyDescent="0.25">
      <c r="A145" s="24" t="s">
        <v>276</v>
      </c>
      <c r="B145" s="8" t="s">
        <v>98</v>
      </c>
      <c r="C145" s="8" t="s">
        <v>148</v>
      </c>
      <c r="D145" s="8" t="s">
        <v>175</v>
      </c>
      <c r="E145" s="8" t="s">
        <v>155</v>
      </c>
      <c r="F145" s="6">
        <v>245000</v>
      </c>
      <c r="G145" s="6">
        <f>1500000-1500000</f>
        <v>0</v>
      </c>
      <c r="H145" s="6">
        <f>1500000-1500000</f>
        <v>0</v>
      </c>
    </row>
    <row r="146" spans="1:8" ht="31.5" x14ac:dyDescent="0.25">
      <c r="A146" s="23" t="s">
        <v>196</v>
      </c>
      <c r="B146" s="20" t="s">
        <v>98</v>
      </c>
      <c r="C146" s="20" t="s">
        <v>158</v>
      </c>
      <c r="D146" s="20" t="s">
        <v>159</v>
      </c>
      <c r="E146" s="20" t="s">
        <v>14</v>
      </c>
      <c r="F146" s="21">
        <f>220000.37-53739.08+5062.65+117708.32</f>
        <v>289032.26</v>
      </c>
      <c r="G146" s="21">
        <v>220000.37</v>
      </c>
      <c r="H146" s="21">
        <v>220000.37</v>
      </c>
    </row>
    <row r="147" spans="1:8" ht="126" x14ac:dyDescent="0.25">
      <c r="A147" s="24" t="s">
        <v>160</v>
      </c>
      <c r="B147" s="20" t="s">
        <v>98</v>
      </c>
      <c r="C147" s="20" t="s">
        <v>161</v>
      </c>
      <c r="D147" s="20" t="s">
        <v>162</v>
      </c>
      <c r="E147" s="20" t="s">
        <v>14</v>
      </c>
      <c r="F147" s="21">
        <v>20647.68</v>
      </c>
      <c r="G147" s="21">
        <f>252000-231352.32</f>
        <v>20647.679999999993</v>
      </c>
      <c r="H147" s="21">
        <f>252000-231352.32</f>
        <v>20647.679999999993</v>
      </c>
    </row>
    <row r="148" spans="1:8" ht="47.25" x14ac:dyDescent="0.25">
      <c r="A148" s="24" t="s">
        <v>210</v>
      </c>
      <c r="B148" s="20" t="s">
        <v>98</v>
      </c>
      <c r="C148" s="20" t="s">
        <v>163</v>
      </c>
      <c r="D148" s="20" t="s">
        <v>164</v>
      </c>
      <c r="E148" s="20" t="s">
        <v>14</v>
      </c>
      <c r="F148" s="21">
        <f>209000-86833.33-107166.66</f>
        <v>15000.009999999995</v>
      </c>
      <c r="G148" s="21">
        <v>209000</v>
      </c>
      <c r="H148" s="21">
        <v>209000</v>
      </c>
    </row>
    <row r="149" spans="1:8" ht="94.5" x14ac:dyDescent="0.25">
      <c r="A149" s="25" t="s">
        <v>165</v>
      </c>
      <c r="B149" s="20" t="s">
        <v>98</v>
      </c>
      <c r="C149" s="20" t="s">
        <v>163</v>
      </c>
      <c r="D149" s="20" t="s">
        <v>166</v>
      </c>
      <c r="E149" s="20" t="s">
        <v>14</v>
      </c>
      <c r="F149" s="21">
        <f>222700-222700</f>
        <v>0</v>
      </c>
      <c r="G149" s="21">
        <v>222700</v>
      </c>
      <c r="H149" s="21">
        <v>222700</v>
      </c>
    </row>
    <row r="150" spans="1:8" ht="78.75" x14ac:dyDescent="0.25">
      <c r="A150" s="25" t="s">
        <v>267</v>
      </c>
      <c r="B150" s="20" t="s">
        <v>98</v>
      </c>
      <c r="C150" s="20" t="s">
        <v>163</v>
      </c>
      <c r="D150" s="20" t="s">
        <v>166</v>
      </c>
      <c r="E150" s="20" t="s">
        <v>155</v>
      </c>
      <c r="F150" s="21">
        <f>222700*10%+222700</f>
        <v>244970</v>
      </c>
      <c r="G150" s="21">
        <v>0</v>
      </c>
      <c r="H150" s="21">
        <v>0</v>
      </c>
    </row>
    <row r="151" spans="1:8" ht="78.75" x14ac:dyDescent="0.25">
      <c r="A151" s="25" t="s">
        <v>222</v>
      </c>
      <c r="B151" s="20" t="s">
        <v>98</v>
      </c>
      <c r="C151" s="20" t="s">
        <v>163</v>
      </c>
      <c r="D151" s="20" t="s">
        <v>167</v>
      </c>
      <c r="E151" s="20" t="s">
        <v>14</v>
      </c>
      <c r="F151" s="21">
        <f>60000-60000</f>
        <v>0</v>
      </c>
      <c r="G151" s="21">
        <v>60000</v>
      </c>
      <c r="H151" s="21">
        <v>60000</v>
      </c>
    </row>
    <row r="152" spans="1:8" ht="78.75" x14ac:dyDescent="0.25">
      <c r="A152" s="25" t="s">
        <v>268</v>
      </c>
      <c r="B152" s="20" t="s">
        <v>98</v>
      </c>
      <c r="C152" s="20" t="s">
        <v>163</v>
      </c>
      <c r="D152" s="20" t="s">
        <v>167</v>
      </c>
      <c r="E152" s="20" t="s">
        <v>155</v>
      </c>
      <c r="F152" s="21">
        <f>60000*10%+60000</f>
        <v>66000</v>
      </c>
      <c r="G152" s="21">
        <v>0</v>
      </c>
      <c r="H152" s="21">
        <v>0</v>
      </c>
    </row>
    <row r="153" spans="1:8" ht="50.25" customHeight="1" x14ac:dyDescent="0.25">
      <c r="A153" s="25" t="s">
        <v>301</v>
      </c>
      <c r="B153" s="20" t="s">
        <v>98</v>
      </c>
      <c r="C153" s="20" t="s">
        <v>163</v>
      </c>
      <c r="D153" s="20" t="s">
        <v>300</v>
      </c>
      <c r="E153" s="20" t="s">
        <v>14</v>
      </c>
      <c r="F153" s="21">
        <f>86833.33+97166.66</f>
        <v>183999.99</v>
      </c>
      <c r="G153" s="21">
        <v>0</v>
      </c>
      <c r="H153" s="21">
        <v>0</v>
      </c>
    </row>
    <row r="154" spans="1:8" ht="31.5" x14ac:dyDescent="0.25">
      <c r="A154" s="25" t="s">
        <v>277</v>
      </c>
      <c r="B154" s="20" t="s">
        <v>98</v>
      </c>
      <c r="C154" s="20" t="s">
        <v>163</v>
      </c>
      <c r="D154" s="20" t="s">
        <v>278</v>
      </c>
      <c r="E154" s="20" t="s">
        <v>14</v>
      </c>
      <c r="F154" s="21">
        <v>236384.48</v>
      </c>
      <c r="G154" s="21">
        <v>0</v>
      </c>
      <c r="H154" s="21">
        <v>0</v>
      </c>
    </row>
    <row r="155" spans="1:8" ht="15.75" x14ac:dyDescent="0.25">
      <c r="A155" s="24" t="s">
        <v>276</v>
      </c>
      <c r="B155" s="8" t="s">
        <v>98</v>
      </c>
      <c r="C155" s="8" t="s">
        <v>163</v>
      </c>
      <c r="D155" s="8" t="s">
        <v>175</v>
      </c>
      <c r="E155" s="8" t="s">
        <v>155</v>
      </c>
      <c r="F155" s="6">
        <v>300000</v>
      </c>
      <c r="G155" s="6">
        <f>1500000-1500000</f>
        <v>0</v>
      </c>
      <c r="H155" s="6">
        <f>1500000-1500000</f>
        <v>0</v>
      </c>
    </row>
    <row r="156" spans="1:8" ht="63" x14ac:dyDescent="0.25">
      <c r="A156" s="23" t="s">
        <v>168</v>
      </c>
      <c r="B156" s="20" t="s">
        <v>98</v>
      </c>
      <c r="C156" s="20" t="s">
        <v>169</v>
      </c>
      <c r="D156" s="20" t="s">
        <v>170</v>
      </c>
      <c r="E156" s="20" t="s">
        <v>16</v>
      </c>
      <c r="F156" s="21">
        <v>102970</v>
      </c>
      <c r="G156" s="21">
        <v>102970</v>
      </c>
      <c r="H156" s="21">
        <v>102970</v>
      </c>
    </row>
    <row r="157" spans="1:8" ht="31.5" x14ac:dyDescent="0.25">
      <c r="A157" s="32" t="s">
        <v>204</v>
      </c>
      <c r="B157" s="20" t="s">
        <v>98</v>
      </c>
      <c r="C157" s="20" t="s">
        <v>169</v>
      </c>
      <c r="D157" s="20" t="s">
        <v>203</v>
      </c>
      <c r="E157" s="20" t="s">
        <v>14</v>
      </c>
      <c r="F157" s="21">
        <v>437925.25</v>
      </c>
      <c r="G157" s="21">
        <v>437925.25</v>
      </c>
      <c r="H157" s="21">
        <v>437925.25</v>
      </c>
    </row>
    <row r="158" spans="1:8" ht="47.25" x14ac:dyDescent="0.25">
      <c r="A158" s="32" t="s">
        <v>270</v>
      </c>
      <c r="B158" s="20" t="s">
        <v>98</v>
      </c>
      <c r="C158" s="20" t="s">
        <v>169</v>
      </c>
      <c r="D158" s="20" t="s">
        <v>171</v>
      </c>
      <c r="E158" s="20" t="s">
        <v>14</v>
      </c>
      <c r="F158" s="21">
        <f>170000-170000</f>
        <v>0</v>
      </c>
      <c r="G158" s="21">
        <v>170000</v>
      </c>
      <c r="H158" s="21">
        <v>170000</v>
      </c>
    </row>
    <row r="159" spans="1:8" ht="31.5" x14ac:dyDescent="0.25">
      <c r="A159" s="32" t="s">
        <v>269</v>
      </c>
      <c r="B159" s="19" t="s">
        <v>98</v>
      </c>
      <c r="C159" s="19" t="s">
        <v>169</v>
      </c>
      <c r="D159" s="19" t="s">
        <v>171</v>
      </c>
      <c r="E159" s="19" t="s">
        <v>155</v>
      </c>
      <c r="F159" s="21">
        <f>170000*10%+170000</f>
        <v>187000</v>
      </c>
      <c r="G159" s="18">
        <v>0</v>
      </c>
      <c r="H159" s="18">
        <v>0</v>
      </c>
    </row>
    <row r="160" spans="1:8" ht="15.75" x14ac:dyDescent="0.25">
      <c r="A160" s="33" t="s">
        <v>172</v>
      </c>
      <c r="B160" s="22" t="s">
        <v>98</v>
      </c>
      <c r="C160" s="22" t="s">
        <v>169</v>
      </c>
      <c r="D160" s="22" t="s">
        <v>173</v>
      </c>
      <c r="E160" s="22" t="s">
        <v>16</v>
      </c>
      <c r="F160" s="36">
        <f>45375-4125</f>
        <v>41250</v>
      </c>
      <c r="G160" s="36">
        <v>41250</v>
      </c>
      <c r="H160" s="36">
        <v>41250</v>
      </c>
    </row>
    <row r="161" spans="1:9" ht="31.5" x14ac:dyDescent="0.25">
      <c r="A161" s="24" t="s">
        <v>211</v>
      </c>
      <c r="B161" s="19" t="s">
        <v>98</v>
      </c>
      <c r="C161" s="19" t="s">
        <v>169</v>
      </c>
      <c r="D161" s="19" t="s">
        <v>212</v>
      </c>
      <c r="E161" s="19" t="s">
        <v>14</v>
      </c>
      <c r="F161" s="18">
        <v>375000</v>
      </c>
      <c r="G161" s="18">
        <v>375000</v>
      </c>
      <c r="H161" s="18">
        <v>375000</v>
      </c>
      <c r="I161" s="2"/>
    </row>
    <row r="162" spans="1:9" ht="51.75" customHeight="1" x14ac:dyDescent="0.25">
      <c r="A162" s="28" t="s">
        <v>299</v>
      </c>
      <c r="B162" s="37" t="s">
        <v>98</v>
      </c>
      <c r="C162" s="37" t="s">
        <v>169</v>
      </c>
      <c r="D162" s="19" t="s">
        <v>298</v>
      </c>
      <c r="E162" s="37" t="s">
        <v>14</v>
      </c>
      <c r="F162" s="38">
        <f>322150.38+134416.45</f>
        <v>456566.83</v>
      </c>
      <c r="G162" s="38">
        <v>0</v>
      </c>
      <c r="H162" s="38">
        <v>0</v>
      </c>
      <c r="I162" s="2"/>
    </row>
    <row r="163" spans="1:9" ht="67.5" customHeight="1" x14ac:dyDescent="0.25">
      <c r="A163" s="24" t="s">
        <v>287</v>
      </c>
      <c r="B163" s="8" t="s">
        <v>98</v>
      </c>
      <c r="C163" s="8" t="s">
        <v>169</v>
      </c>
      <c r="D163" s="8" t="s">
        <v>288</v>
      </c>
      <c r="E163" s="8" t="s">
        <v>155</v>
      </c>
      <c r="F163" s="6">
        <f>344526.53+78960.34</f>
        <v>423486.87</v>
      </c>
      <c r="G163" s="6">
        <v>0</v>
      </c>
      <c r="H163" s="6">
        <v>0</v>
      </c>
    </row>
    <row r="164" spans="1:9" ht="34.5" customHeight="1" x14ac:dyDescent="0.25">
      <c r="A164" s="28" t="s">
        <v>174</v>
      </c>
      <c r="B164" s="9" t="s">
        <v>98</v>
      </c>
      <c r="C164" s="9" t="s">
        <v>169</v>
      </c>
      <c r="D164" s="8" t="s">
        <v>175</v>
      </c>
      <c r="E164" s="9" t="s">
        <v>14</v>
      </c>
      <c r="F164" s="10">
        <f>1500000-1500000+1500000-200000-400000-300000-150000-450000+1500000-1500000</f>
        <v>0</v>
      </c>
      <c r="G164" s="10">
        <f>1500000-1500000</f>
        <v>0</v>
      </c>
      <c r="H164" s="10">
        <f>1500000-1500000</f>
        <v>0</v>
      </c>
    </row>
    <row r="165" spans="1:9" ht="21.75" customHeight="1" x14ac:dyDescent="0.25">
      <c r="A165" s="28" t="s">
        <v>276</v>
      </c>
      <c r="B165" s="9" t="s">
        <v>98</v>
      </c>
      <c r="C165" s="9" t="s">
        <v>169</v>
      </c>
      <c r="D165" s="8" t="s">
        <v>175</v>
      </c>
      <c r="E165" s="9" t="s">
        <v>155</v>
      </c>
      <c r="F165" s="10">
        <v>100000</v>
      </c>
      <c r="G165" s="10">
        <f>1500000-1500000</f>
        <v>0</v>
      </c>
      <c r="H165" s="10">
        <f>1500000-1500000</f>
        <v>0</v>
      </c>
    </row>
    <row r="166" spans="1:9" ht="47.25" x14ac:dyDescent="0.25">
      <c r="A166" s="24" t="s">
        <v>176</v>
      </c>
      <c r="B166" s="8" t="s">
        <v>98</v>
      </c>
      <c r="C166" s="8" t="s">
        <v>44</v>
      </c>
      <c r="D166" s="8" t="s">
        <v>177</v>
      </c>
      <c r="E166" s="8" t="s">
        <v>38</v>
      </c>
      <c r="F166" s="6">
        <f>5071511.87+2512869.52-121822.14-54143.18</f>
        <v>7408416.0700000012</v>
      </c>
      <c r="G166" s="6">
        <f>5071511.87+2512869.52</f>
        <v>7584381.3900000006</v>
      </c>
      <c r="H166" s="6">
        <f>5071511.87+2512869.52</f>
        <v>7584381.3900000006</v>
      </c>
    </row>
    <row r="167" spans="1:9" ht="78.75" x14ac:dyDescent="0.25">
      <c r="A167" s="32" t="s">
        <v>231</v>
      </c>
      <c r="B167" s="7" t="s">
        <v>98</v>
      </c>
      <c r="C167" s="7" t="s">
        <v>44</v>
      </c>
      <c r="D167" s="8" t="s">
        <v>178</v>
      </c>
      <c r="E167" s="7" t="s">
        <v>38</v>
      </c>
      <c r="F167" s="16">
        <v>2316753</v>
      </c>
      <c r="G167" s="16">
        <v>0</v>
      </c>
      <c r="H167" s="16">
        <v>0</v>
      </c>
    </row>
    <row r="168" spans="1:9" ht="78.75" x14ac:dyDescent="0.25">
      <c r="A168" s="32" t="s">
        <v>232</v>
      </c>
      <c r="B168" s="7" t="s">
        <v>98</v>
      </c>
      <c r="C168" s="7" t="s">
        <v>44</v>
      </c>
      <c r="D168" s="8" t="s">
        <v>221</v>
      </c>
      <c r="E168" s="7" t="s">
        <v>38</v>
      </c>
      <c r="F168" s="16">
        <f>121822.14+54143.18</f>
        <v>175965.32</v>
      </c>
      <c r="G168" s="16">
        <v>0</v>
      </c>
      <c r="H168" s="16">
        <v>0</v>
      </c>
    </row>
    <row r="169" spans="1:9" ht="47.25" x14ac:dyDescent="0.25">
      <c r="A169" s="32" t="s">
        <v>85</v>
      </c>
      <c r="B169" s="7" t="s">
        <v>98</v>
      </c>
      <c r="C169" s="7" t="s">
        <v>86</v>
      </c>
      <c r="D169" s="8" t="s">
        <v>87</v>
      </c>
      <c r="E169" s="7" t="s">
        <v>14</v>
      </c>
      <c r="F169" s="16">
        <v>100000</v>
      </c>
      <c r="G169" s="16">
        <v>100000</v>
      </c>
      <c r="H169" s="16">
        <v>100000</v>
      </c>
    </row>
    <row r="170" spans="1:9" ht="31.5" x14ac:dyDescent="0.25">
      <c r="A170" s="31" t="s">
        <v>179</v>
      </c>
      <c r="B170" s="8" t="s">
        <v>98</v>
      </c>
      <c r="C170" s="8" t="s">
        <v>180</v>
      </c>
      <c r="D170" s="8" t="s">
        <v>181</v>
      </c>
      <c r="E170" s="8" t="s">
        <v>60</v>
      </c>
      <c r="F170" s="6">
        <f>2036560.2+101191.98</f>
        <v>2137752.1800000002</v>
      </c>
      <c r="G170" s="6">
        <v>1872854.04</v>
      </c>
      <c r="H170" s="6">
        <v>1772119.45</v>
      </c>
    </row>
    <row r="171" spans="1:9" ht="47.25" x14ac:dyDescent="0.25">
      <c r="A171" s="24" t="s">
        <v>233</v>
      </c>
      <c r="B171" s="20" t="s">
        <v>98</v>
      </c>
      <c r="C171" s="20" t="s">
        <v>182</v>
      </c>
      <c r="D171" s="7" t="s">
        <v>183</v>
      </c>
      <c r="E171" s="20" t="s">
        <v>60</v>
      </c>
      <c r="F171" s="21">
        <v>0</v>
      </c>
      <c r="G171" s="21">
        <v>63768.6</v>
      </c>
      <c r="H171" s="21">
        <f>85892.4-13014</f>
        <v>72878.399999999994</v>
      </c>
    </row>
    <row r="172" spans="1:9" ht="78.75" x14ac:dyDescent="0.25">
      <c r="A172" s="28" t="s">
        <v>184</v>
      </c>
      <c r="B172" s="22" t="s">
        <v>98</v>
      </c>
      <c r="C172" s="22" t="s">
        <v>182</v>
      </c>
      <c r="D172" s="35" t="s">
        <v>185</v>
      </c>
      <c r="E172" s="22" t="s">
        <v>60</v>
      </c>
      <c r="F172" s="36">
        <f>109317.6-109317.6</f>
        <v>0</v>
      </c>
      <c r="G172" s="36">
        <v>23425.200000000001</v>
      </c>
      <c r="H172" s="36">
        <v>85892.4</v>
      </c>
    </row>
    <row r="173" spans="1:9" ht="47.25" x14ac:dyDescent="0.25">
      <c r="A173" s="28" t="s">
        <v>186</v>
      </c>
      <c r="B173" s="9" t="s">
        <v>98</v>
      </c>
      <c r="C173" s="9" t="s">
        <v>182</v>
      </c>
      <c r="D173" s="9" t="s">
        <v>187</v>
      </c>
      <c r="E173" s="9" t="s">
        <v>38</v>
      </c>
      <c r="F173" s="10">
        <v>122500</v>
      </c>
      <c r="G173" s="10">
        <v>122500</v>
      </c>
      <c r="H173" s="10">
        <v>122500</v>
      </c>
    </row>
    <row r="174" spans="1:9" ht="63" x14ac:dyDescent="0.25">
      <c r="A174" s="28" t="s">
        <v>188</v>
      </c>
      <c r="B174" s="9" t="s">
        <v>98</v>
      </c>
      <c r="C174" s="9" t="s">
        <v>68</v>
      </c>
      <c r="D174" s="9" t="s">
        <v>234</v>
      </c>
      <c r="E174" s="9" t="s">
        <v>189</v>
      </c>
      <c r="F174" s="10">
        <f>1882320+24658.4</f>
        <v>1906978.4</v>
      </c>
      <c r="G174" s="10">
        <v>941160</v>
      </c>
      <c r="H174" s="10">
        <v>941160</v>
      </c>
    </row>
    <row r="175" spans="1:9" ht="47.25" x14ac:dyDescent="0.25">
      <c r="A175" s="28" t="s">
        <v>190</v>
      </c>
      <c r="B175" s="9" t="s">
        <v>98</v>
      </c>
      <c r="C175" s="9" t="s">
        <v>191</v>
      </c>
      <c r="D175" s="9" t="s">
        <v>192</v>
      </c>
      <c r="E175" s="9" t="s">
        <v>14</v>
      </c>
      <c r="F175" s="10">
        <f>100000</f>
        <v>100000</v>
      </c>
      <c r="G175" s="10">
        <f t="shared" ref="G175:H175" si="7">100000</f>
        <v>100000</v>
      </c>
      <c r="H175" s="10">
        <f t="shared" si="7"/>
        <v>100000</v>
      </c>
    </row>
    <row r="176" spans="1:9" ht="47.25" x14ac:dyDescent="0.25">
      <c r="A176" s="28" t="s">
        <v>255</v>
      </c>
      <c r="B176" s="9" t="s">
        <v>98</v>
      </c>
      <c r="C176" s="9" t="s">
        <v>191</v>
      </c>
      <c r="D176" s="9" t="s">
        <v>254</v>
      </c>
      <c r="E176" s="9" t="s">
        <v>16</v>
      </c>
      <c r="F176" s="10">
        <v>700000</v>
      </c>
      <c r="G176" s="10">
        <v>700000</v>
      </c>
      <c r="H176" s="10">
        <v>700000</v>
      </c>
    </row>
    <row r="177" spans="1:8" ht="15.75" x14ac:dyDescent="0.25">
      <c r="A177" s="61" t="s">
        <v>193</v>
      </c>
      <c r="B177" s="55"/>
      <c r="C177" s="55"/>
      <c r="D177" s="55"/>
      <c r="E177" s="55"/>
      <c r="F177" s="60">
        <f>F6+F76+F84+F89</f>
        <v>517180917.09899998</v>
      </c>
      <c r="G177" s="60">
        <f>G6+G76+G84+G89</f>
        <v>373144623.89999986</v>
      </c>
      <c r="H177" s="60">
        <f>H6+H76+H84+H89</f>
        <v>370433329.43999994</v>
      </c>
    </row>
  </sheetData>
  <mergeCells count="4">
    <mergeCell ref="F1:H1"/>
    <mergeCell ref="A2:H2"/>
    <mergeCell ref="A3:H3"/>
    <mergeCell ref="G4:H4"/>
  </mergeCells>
  <pageMargins left="0.31496062992125984" right="0.31496062992125984" top="0.35433070866141736" bottom="0.35433070866141736" header="0.31496062992125984" footer="0.31496062992125984"/>
  <pageSetup paperSize="9" scale="50"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Апрель</vt:lpstr>
      <vt:lpstr>Апрель!Область_печати</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Eko</cp:lastModifiedBy>
  <cp:lastPrinted>2023-04-26T13:59:10Z</cp:lastPrinted>
  <dcterms:created xsi:type="dcterms:W3CDTF">2021-01-26T11:28:42Z</dcterms:created>
  <dcterms:modified xsi:type="dcterms:W3CDTF">2023-04-28T10:20:00Z</dcterms:modified>
</cp:coreProperties>
</file>