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D:\D\СОВЕТ 2024\ПМР\Актуальная редакция ПМР\14.Декабрь ПМР внеочередное\"/>
    </mc:Choice>
  </mc:AlternateContent>
  <xr:revisionPtr revIDLastSave="0" documentId="13_ncr:1_{FDCC593B-FFD9-420B-AC49-CFE78244E80B}" xr6:coauthVersionLast="47" xr6:coauthVersionMax="47" xr10:uidLastSave="{00000000-0000-0000-0000-000000000000}"/>
  <bookViews>
    <workbookView xWindow="-120" yWindow="-120" windowWidth="19440" windowHeight="15000" xr2:uid="{00000000-000D-0000-FFFF-FFFF00000000}"/>
  </bookViews>
  <sheets>
    <sheet name="Декабрь внеочеред" sheetId="109" r:id="rId1"/>
  </sheets>
  <definedNames>
    <definedName name="_xlnm.Print_Area" localSheetId="0">'Декабрь внеочеред'!$A$1:$H$182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6" i="109" l="1"/>
  <c r="F41" i="109"/>
  <c r="F36" i="109"/>
  <c r="F39" i="109"/>
  <c r="F35" i="109"/>
  <c r="F33" i="109"/>
  <c r="F37" i="109"/>
  <c r="F13" i="109"/>
  <c r="F20" i="109" l="1"/>
  <c r="H180" i="109"/>
  <c r="G180" i="109"/>
  <c r="F180" i="109"/>
  <c r="H178" i="109"/>
  <c r="G178" i="109"/>
  <c r="F178" i="109"/>
  <c r="F177" i="109"/>
  <c r="F175" i="109"/>
  <c r="F174" i="109"/>
  <c r="F173" i="109"/>
  <c r="F172" i="109"/>
  <c r="H171" i="109"/>
  <c r="G171" i="109"/>
  <c r="F171" i="109"/>
  <c r="H170" i="109"/>
  <c r="G170" i="109"/>
  <c r="F170" i="109"/>
  <c r="H169" i="109"/>
  <c r="G169" i="109"/>
  <c r="F169" i="109"/>
  <c r="F167" i="109"/>
  <c r="F166" i="109"/>
  <c r="F164" i="109"/>
  <c r="F163" i="109"/>
  <c r="F162" i="109"/>
  <c r="F161" i="109"/>
  <c r="H160" i="109"/>
  <c r="G160" i="109"/>
  <c r="F159" i="109"/>
  <c r="F157" i="109"/>
  <c r="F156" i="109"/>
  <c r="F155" i="109"/>
  <c r="F154" i="109"/>
  <c r="F153" i="109"/>
  <c r="F152" i="109"/>
  <c r="H151" i="109"/>
  <c r="G151" i="109"/>
  <c r="F151" i="109"/>
  <c r="F150" i="109"/>
  <c r="H149" i="109"/>
  <c r="G149" i="109"/>
  <c r="F149" i="109"/>
  <c r="F148" i="109"/>
  <c r="H147" i="109"/>
  <c r="G147" i="109"/>
  <c r="F147" i="109"/>
  <c r="F146" i="109"/>
  <c r="F145" i="109"/>
  <c r="F144" i="109"/>
  <c r="F143" i="109"/>
  <c r="F142" i="109"/>
  <c r="G141" i="109"/>
  <c r="F141" i="109"/>
  <c r="F140" i="109"/>
  <c r="G139" i="109"/>
  <c r="F139" i="109"/>
  <c r="G138" i="109"/>
  <c r="F138" i="109"/>
  <c r="F137" i="109"/>
  <c r="F135" i="109"/>
  <c r="F134" i="109"/>
  <c r="F132" i="109"/>
  <c r="F130" i="109"/>
  <c r="F128" i="109"/>
  <c r="F127" i="109"/>
  <c r="H123" i="109"/>
  <c r="H92" i="109" s="1"/>
  <c r="G123" i="109"/>
  <c r="F123" i="109"/>
  <c r="H121" i="109"/>
  <c r="G121" i="109"/>
  <c r="F121" i="109"/>
  <c r="F120" i="109"/>
  <c r="F119" i="109"/>
  <c r="F118" i="109"/>
  <c r="G117" i="109"/>
  <c r="F117" i="109"/>
  <c r="F116" i="109"/>
  <c r="F115" i="109"/>
  <c r="F114" i="109"/>
  <c r="F112" i="109"/>
  <c r="F111" i="109"/>
  <c r="F108" i="109"/>
  <c r="F106" i="109"/>
  <c r="F105" i="109"/>
  <c r="F104" i="109"/>
  <c r="F103" i="109"/>
  <c r="F102" i="109"/>
  <c r="F100" i="109"/>
  <c r="H99" i="109"/>
  <c r="G99" i="109"/>
  <c r="G92" i="109" s="1"/>
  <c r="F99" i="109"/>
  <c r="F97" i="109"/>
  <c r="F96" i="109"/>
  <c r="F95" i="109"/>
  <c r="F93" i="109"/>
  <c r="F92" i="109" s="1"/>
  <c r="F89" i="109"/>
  <c r="F87" i="109" s="1"/>
  <c r="H87" i="109"/>
  <c r="G87" i="109"/>
  <c r="F86" i="109"/>
  <c r="F84" i="109"/>
  <c r="F83" i="109"/>
  <c r="F82" i="109"/>
  <c r="F79" i="109" s="1"/>
  <c r="H79" i="109"/>
  <c r="G79" i="109"/>
  <c r="F77" i="109"/>
  <c r="F76" i="109"/>
  <c r="F75" i="109"/>
  <c r="F74" i="109"/>
  <c r="F73" i="109"/>
  <c r="H71" i="109"/>
  <c r="G71" i="109"/>
  <c r="F71" i="109"/>
  <c r="H70" i="109"/>
  <c r="G70" i="109"/>
  <c r="F70" i="109"/>
  <c r="H68" i="109"/>
  <c r="G68" i="109"/>
  <c r="F68" i="109"/>
  <c r="H67" i="109"/>
  <c r="G67" i="109"/>
  <c r="F67" i="109"/>
  <c r="F66" i="109"/>
  <c r="H64" i="109"/>
  <c r="G64" i="109"/>
  <c r="F64" i="109"/>
  <c r="H63" i="109"/>
  <c r="G63" i="109"/>
  <c r="F63" i="109"/>
  <c r="H62" i="109"/>
  <c r="G62" i="109"/>
  <c r="F62" i="109"/>
  <c r="F61" i="109"/>
  <c r="H60" i="109"/>
  <c r="G60" i="109"/>
  <c r="F60" i="109"/>
  <c r="F59" i="109"/>
  <c r="F58" i="109"/>
  <c r="F57" i="109"/>
  <c r="H56" i="109"/>
  <c r="G56" i="109"/>
  <c r="F56" i="109"/>
  <c r="F55" i="109"/>
  <c r="H54" i="109"/>
  <c r="G54" i="109"/>
  <c r="F54" i="109"/>
  <c r="H53" i="109"/>
  <c r="G53" i="109"/>
  <c r="F53" i="109"/>
  <c r="H52" i="109"/>
  <c r="G52" i="109"/>
  <c r="F52" i="109"/>
  <c r="F51" i="109"/>
  <c r="F50" i="109"/>
  <c r="F49" i="109"/>
  <c r="F48" i="109"/>
  <c r="H46" i="109"/>
  <c r="G46" i="109"/>
  <c r="F46" i="109"/>
  <c r="H45" i="109"/>
  <c r="G45" i="109"/>
  <c r="F45" i="109"/>
  <c r="F43" i="109"/>
  <c r="H42" i="109"/>
  <c r="G42" i="109"/>
  <c r="F42" i="109"/>
  <c r="H40" i="109"/>
  <c r="G40" i="109"/>
  <c r="F40" i="109"/>
  <c r="H39" i="109"/>
  <c r="G39" i="109"/>
  <c r="H38" i="109"/>
  <c r="G38" i="109"/>
  <c r="F38" i="109"/>
  <c r="H37" i="109"/>
  <c r="G37" i="109"/>
  <c r="F34" i="109"/>
  <c r="H33" i="109"/>
  <c r="G33" i="109"/>
  <c r="H31" i="109"/>
  <c r="G31" i="109"/>
  <c r="F31" i="109"/>
  <c r="H30" i="109"/>
  <c r="G30" i="109"/>
  <c r="F30" i="109"/>
  <c r="H29" i="109"/>
  <c r="G29" i="109"/>
  <c r="F29" i="109"/>
  <c r="F28" i="109"/>
  <c r="H27" i="109"/>
  <c r="G27" i="109"/>
  <c r="F27" i="109"/>
  <c r="F26" i="109"/>
  <c r="H25" i="109"/>
  <c r="G25" i="109"/>
  <c r="F24" i="109"/>
  <c r="F23" i="109"/>
  <c r="H22" i="109"/>
  <c r="G22" i="109"/>
  <c r="F22" i="109"/>
  <c r="H21" i="109"/>
  <c r="G21" i="109"/>
  <c r="F21" i="109"/>
  <c r="H19" i="109"/>
  <c r="G19" i="109"/>
  <c r="F19" i="109"/>
  <c r="F18" i="109"/>
  <c r="F17" i="109"/>
  <c r="F16" i="109"/>
  <c r="F15" i="109"/>
  <c r="H13" i="109"/>
  <c r="G13" i="109"/>
  <c r="H12" i="109"/>
  <c r="G12" i="109"/>
  <c r="F12" i="109"/>
  <c r="H11" i="109"/>
  <c r="G11" i="109"/>
  <c r="F11" i="109"/>
  <c r="H10" i="109"/>
  <c r="G10" i="109"/>
  <c r="F10" i="109"/>
  <c r="F9" i="109"/>
  <c r="H8" i="109"/>
  <c r="G8" i="109"/>
  <c r="G6" i="109" s="1"/>
  <c r="F8" i="109"/>
  <c r="H7" i="109"/>
  <c r="G7" i="109"/>
  <c r="F7" i="109"/>
  <c r="F6" i="109" s="1"/>
  <c r="H6" i="109"/>
  <c r="H182" i="109" s="1"/>
  <c r="F182" i="109" l="1"/>
  <c r="G182" i="109"/>
</calcChain>
</file>

<file path=xl/sharedStrings.xml><?xml version="1.0" encoding="utf-8"?>
<sst xmlns="http://schemas.openxmlformats.org/spreadsheetml/2006/main" count="881" uniqueCount="325">
  <si>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</si>
  <si>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</si>
  <si>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</si>
  <si>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</si>
  <si>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</si>
  <si>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</si>
  <si>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</si>
  <si>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</si>
  <si>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</si>
  <si>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</si>
  <si>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</si>
  <si>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</si>
  <si>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</si>
  <si>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</si>
  <si>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</si>
  <si>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</si>
  <si>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</si>
  <si>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</si>
  <si>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</si>
  <si>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</si>
  <si>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</si>
  <si>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</si>
  <si>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</si>
  <si>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</si>
  <si>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</si>
  <si>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</si>
  <si>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</si>
  <si>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</si>
  <si>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</si>
  <si>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</si>
  <si>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</si>
  <si>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</si>
  <si>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</si>
  <si>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</si>
  <si>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</si>
  <si>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</si>
  <si>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</si>
  <si>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</si>
  <si>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</si>
  <si>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</si>
  <si>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</si>
  <si>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</si>
  <si>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</si>
  <si>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</si>
  <si>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</si>
  <si>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</si>
  <si>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</si>
  <si>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</si>
  <si>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</si>
  <si>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</si>
  <si>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</si>
  <si>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</si>
  <si>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</si>
  <si>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</si>
  <si>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</si>
  <si>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</si>
  <si>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</si>
  <si>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</si>
  <si>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</si>
  <si>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</si>
  <si>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</si>
  <si>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</si>
  <si>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</si>
  <si>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</si>
  <si>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</si>
  <si>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</si>
  <si>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</si>
  <si>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</si>
  <si>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</si>
  <si>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</si>
  <si>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</si>
  <si>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</si>
  <si>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</si>
  <si>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</si>
  <si>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</si>
  <si>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</si>
  <si>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</si>
  <si>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</si>
  <si>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</si>
  <si>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</si>
  <si>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</si>
  <si>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</si>
  <si>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</si>
  <si>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</si>
  <si>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</si>
  <si>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</si>
  <si>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</si>
  <si>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</si>
  <si>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</si>
  <si>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</si>
  <si>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</si>
  <si>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</si>
  <si>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</si>
  <si>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</si>
  <si>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</si>
  <si>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</si>
  <si>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</si>
  <si>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</si>
  <si>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</si>
  <si>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</si>
  <si>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</si>
  <si>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</si>
  <si>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</si>
  <si>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</si>
  <si>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</si>
  <si>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</si>
  <si>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</si>
  <si>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</si>
  <si>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</si>
  <si>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</si>
  <si>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</si>
  <si>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</si>
  <si>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</si>
  <si>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</si>
  <si>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</si>
  <si>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</si>
  <si>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</si>
  <si>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</si>
  <si>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</si>
  <si>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</si>
  <si>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</si>
  <si>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</si>
  <si>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</si>
  <si>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</si>
  <si>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</si>
  <si>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</si>
  <si>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</si>
  <si>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</si>
  <si>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</si>
  <si>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</si>
  <si>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</si>
  <si>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</si>
  <si>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</si>
  <si>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</si>
  <si>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</si>
  <si>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</si>
  <si>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</si>
  <si>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</si>
  <si>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</si>
  <si>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</si>
  <si>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</si>
  <si>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</si>
  <si>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</si>
  <si>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</si>
  <si>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</si>
  <si>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</si>
  <si>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</si>
  <si>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</si>
  <si>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</si>
  <si>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</si>
  <si>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</si>
  <si>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</si>
  <si>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</si>
  <si>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</si>
  <si>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</si>
  <si>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</si>
  <si>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</si>
  <si>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</si>
  <si>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</si>
  <si>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</si>
  <si>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</si>
  <si>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</si>
  <si>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</si>
  <si>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</si>
  <si>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</si>
  <si>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</si>
  <si>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</si>
  <si>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</si>
  <si>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</si>
  <si>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</si>
  <si>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</si>
  <si>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</si>
  <si>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</si>
  <si>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</si>
  <si>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</si>
  <si>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</si>
  <si>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</si>
  <si>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</si>
  <si>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</si>
  <si>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</si>
  <si>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</si>
  <si>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</si>
  <si>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</si>
  <si>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</si>
  <si>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</si>
  <si>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</si>
  <si>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</si>
  <si>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</si>
  <si>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</si>
  <si>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</si>
  <si>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</si>
  <si>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</si>
  <si>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</si>
  <si>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</si>
  <si>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</si>
  <si>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</si>
  <si>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</si>
  <si>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</si>
  <si>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</si>
  <si>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</si>
  <si>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</si>
  <si>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</si>
  <si>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</si>
  <si>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</si>
  <si>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</si>
  <si>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</si>
  <si>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</si>
  <si>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</si>
  <si>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</si>
  <si>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</si>
  <si>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</si>
  <si>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</si>
  <si>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</si>
  <si>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</si>
  <si>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</si>
  <si>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</si>
  <si>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</si>
  <si>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</si>
  <si>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</si>
  <si>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</si>
  <si>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</si>
  <si>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</si>
  <si>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</si>
  <si>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</si>
  <si>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</si>
  <si>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</si>
  <si>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</si>
  <si>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</si>
  <si>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</si>
  <si>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</si>
  <si>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</si>
  <si>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</si>
  <si>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</si>
  <si>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</si>
  <si>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</si>
  <si>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</si>
  <si>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</si>
  <si>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</si>
  <si>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</si>
  <si>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</si>
  <si>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</si>
  <si>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</si>
  <si>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</si>
  <si>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</si>
  <si>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</si>
  <si>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</si>
  <si>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</si>
  <si>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</si>
  <si>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</si>
  <si>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</si>
  <si>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</si>
  <si>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</si>
  <si>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</si>
  <si>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</si>
  <si>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15 1 02 23190</t>
  </si>
  <si>
    <t>Ремонт тротуаров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</si>
  <si>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</si>
  <si>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</si>
  <si>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</si>
  <si>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Ведомственная структура расходов бюджета Приволжского муниципального района на 2024 год и на плановый период 2025 и 2026 годов</t>
  </si>
  <si>
    <t>04 1 01 27030</t>
  </si>
  <si>
    <t>04 1 01 21940</t>
  </si>
  <si>
    <t>12 3 01 R0820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</si>
  <si>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</si>
  <si>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</si>
  <si>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</si>
  <si>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</si>
  <si>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</si>
  <si>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 xml:space="preserve">Модернизация школьных систем образования (Закупка товаров, работ и услуг для обеспечения государственных (муниципальных) нужд) </t>
  </si>
  <si>
    <t>03 1 02 R7502</t>
  </si>
  <si>
    <t>03 1 02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</si>
  <si>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</si>
  <si>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</si>
  <si>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</si>
  <si>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</si>
  <si>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</si>
  <si>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Приложение 5
 к решению Совета Приволжского 
муниципального района от 21.12.2023 № 75                                                         
  «О бюджете Приволжского муниципального района  
на 2024 год и плановый период 2025 и 2026 годов»</t>
  </si>
  <si>
    <t>Ремонт автомобильных дорог (Закупка товаров, работ и услуг для обеспечения государственных (муниципальных) нужд)</t>
  </si>
  <si>
    <t>15 1 02 23120</t>
  </si>
  <si>
    <t>12 3 01 Д0820</t>
  </si>
  <si>
    <t>03 1 02 L7502</t>
  </si>
  <si>
    <t>03 1 01 S1950</t>
  </si>
  <si>
    <t>Выполнение наказов избирателей (Межбюджетные трансферты)</t>
  </si>
  <si>
    <t>Обеспечение функционирования представительного органа муниципального образования (Иные бюджетные ассигнования)</t>
  </si>
  <si>
    <t>03 1 01 81120</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</si>
  <si>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обеспечения государственных (муниципальных) нужд)</t>
  </si>
  <si>
    <t>Реализация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</si>
  <si>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</si>
  <si>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41 9 00 81220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</si>
  <si>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</si>
  <si>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</si>
  <si>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</si>
  <si>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Мероприятия по обработке земель сельскохозяйственного назначения (Закупка товаров, работ и услуг для обеспечения государственных (муниципальных) нужд)</t>
  </si>
  <si>
    <t>10 1 01 10020</t>
  </si>
  <si>
    <t>38 4 01 21970</t>
  </si>
  <si>
    <t>Снос самовольных построек (Закупка товаров, работ и услуг для обеспечения государственных (муниципальных) нужд)</t>
  </si>
  <si>
    <t>04 1 01 60030</t>
  </si>
  <si>
    <t>Субсидия на финансовое обеспечение затрат на мероприятия, связанные со сменой формы собственности организаций (Иные бюджетные ассигнования)</t>
  </si>
  <si>
    <t>03 1 03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</si>
  <si>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</si>
  <si>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03 1 02 А7502</t>
  </si>
  <si>
    <t xml:space="preserve">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 </t>
  </si>
  <si>
    <t>1006</t>
  </si>
  <si>
    <t>02 1 01 81400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</si>
  <si>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(Предоставление субсидий бюджетным, автономным учреждениям и иным некоммерческим организациям)</t>
  </si>
  <si>
    <t>03 1 01 81400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</si>
  <si>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(Социальное обеспечение и иные выплаты населению)</t>
  </si>
  <si>
    <t>03 1 02 81400</t>
  </si>
  <si>
    <t>03 1 03 81400</t>
  </si>
  <si>
    <t>Охрана труда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</si>
  <si>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Выполнение мероприятий "Комплексного плана противодействия идеологии терроризма в Российской Федерации на 2024-2028 годы" на территории Приволжского муниципального района (Закупка товаров, работ и услуг для обеспечения государственных (муниципальных) нужд)</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</si>
  <si>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</si>
  <si>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40 9 00 55490</t>
  </si>
  <si>
    <t>19 3 02 S6800</t>
  </si>
  <si>
    <t xml:space="preserve">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 </t>
  </si>
  <si>
    <t>03 1 02 50502</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</si>
  <si>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</si>
  <si>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06 3 01 26220</t>
  </si>
  <si>
    <t>Расходы на транспортировку умерших в морг (Закупка товаров, работ и услуг для обеспечения государственных (муниципальных) нужд)</t>
  </si>
  <si>
    <t>06 3 03 26510</t>
  </si>
  <si>
    <t>Прочие мероприятия в области благоустройства (Закупка товаров, работ и услуг для обеспечения государственных (муниципальных) нужд)</t>
  </si>
  <si>
    <t>08 1 03 28070</t>
  </si>
  <si>
    <t>Содержание централизованных источников водоснабжения (Закупка товаров, работ и услуг для обеспечения государственных (муниципальных) нужд)</t>
  </si>
  <si>
    <t>Обеспечение прочих обязательств администрации (Социальное обеспечение и иные выплаты населению)</t>
  </si>
  <si>
    <t>(в редакции решения Совета от 27.12.2024 № 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</si>
</sst>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3">
    <xf numFmtId="0" fontId="0" fillId="0" borderId="0" xfId="0"/>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0" fontId="13" fillId="0" borderId="0" xfId="0" applyFont="1"/>
    <xf numFmtId="0" fontId="2" fillId="0" borderId="0" xfId="0" applyFont="1" applyFill="1" applyAlignment="1">
      <alignment horizontal="right" vertical="top" wrapText="1"/>
    </xf>
    <xf numFmtId="0" fontId="0" fillId="0" borderId="0" xfId="0" applyFill="1"/>
    <xf numFmtId="0" fontId="3"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wrapText="1"/>
    </xf>
    <xf numFmtId="0" fontId="14"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left" vertical="center" wrapText="1"/>
    </xf>
    <xf numFmtId="49" fontId="2" fillId="0" borderId="6" xfId="0" applyNumberFormat="1" applyFont="1" applyFill="1" applyBorder="1" applyAlignment="1">
      <alignment horizontal="right"/>
    </xf>
    <xf numFmtId="4" fontId="2" fillId="0" borderId="5" xfId="0" applyNumberFormat="1" applyFont="1" applyFill="1" applyBorder="1" applyAlignment="1">
      <alignment horizontal="right"/>
    </xf>
    <xf numFmtId="4" fontId="2" fillId="0" borderId="6" xfId="0" applyNumberFormat="1" applyFont="1" applyFill="1" applyBorder="1" applyAlignment="1">
      <alignment horizontal="right"/>
    </xf>
    <xf numFmtId="0" fontId="2" fillId="0" borderId="5" xfId="0" applyFont="1" applyFill="1" applyBorder="1" applyAlignment="1">
      <alignment horizontal="left" vertical="center" wrapText="1"/>
    </xf>
    <xf numFmtId="49" fontId="2" fillId="0" borderId="5" xfId="0" applyNumberFormat="1" applyFont="1" applyFill="1" applyBorder="1" applyAlignment="1">
      <alignment horizontal="right"/>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0" applyFont="1" applyFill="1" applyBorder="1" applyAlignment="1">
      <alignment horizontal="left" vertical="top" wrapText="1"/>
    </xf>
    <xf numFmtId="0" fontId="2" fillId="0" borderId="6" xfId="0" applyFont="1" applyFill="1" applyBorder="1" applyAlignment="1">
      <alignment horizontal="justify" vertical="top"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1"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3" xfId="0" applyFont="1" applyFill="1" applyBorder="1" applyAlignment="1">
      <alignment horizontal="left" vertical="top" wrapText="1"/>
    </xf>
    <xf numFmtId="49" fontId="12" fillId="0" borderId="5" xfId="0" applyNumberFormat="1" applyFont="1" applyFill="1" applyBorder="1" applyAlignment="1">
      <alignment horizontal="right"/>
    </xf>
    <xf numFmtId="0" fontId="12" fillId="0" borderId="6" xfId="0" applyFont="1" applyFill="1" applyBorder="1" applyAlignment="1">
      <alignment horizontal="left" vertical="center" wrapText="1"/>
    </xf>
    <xf numFmtId="49" fontId="12" fillId="0" borderId="6" xfId="0" applyNumberFormat="1" applyFont="1" applyFill="1" applyBorder="1" applyAlignment="1">
      <alignment horizontal="right"/>
    </xf>
    <xf numFmtId="4" fontId="12" fillId="0" borderId="6" xfId="0" applyNumberFormat="1" applyFont="1" applyFill="1" applyBorder="1" applyAlignment="1">
      <alignment horizontal="right"/>
    </xf>
    <xf numFmtId="0" fontId="12" fillId="0" borderId="5" xfId="0" applyFont="1" applyFill="1" applyBorder="1" applyAlignment="1">
      <alignment horizontal="left" vertical="center" wrapText="1"/>
    </xf>
    <xf numFmtId="0" fontId="2" fillId="0" borderId="3" xfId="0" applyFont="1" applyFill="1" applyBorder="1" applyAlignment="1">
      <alignment horizontal="right"/>
    </xf>
    <xf numFmtId="0" fontId="2" fillId="0" borderId="5" xfId="0"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2" fillId="0" borderId="6" xfId="0"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0" fontId="2" fillId="0" borderId="7" xfId="0" applyFont="1" applyFill="1" applyBorder="1" applyAlignment="1">
      <alignment horizontal="left" vertical="center" wrapText="1"/>
    </xf>
    <xf numFmtId="4" fontId="2" fillId="0" borderId="6" xfId="0" applyNumberFormat="1" applyFont="1" applyFill="1" applyBorder="1" applyAlignment="1">
      <alignment horizontal="right"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49" fontId="2" fillId="0" borderId="8" xfId="0" applyNumberFormat="1" applyFont="1" applyFill="1" applyBorder="1" applyAlignment="1">
      <alignment horizontal="right" wrapText="1"/>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49" fontId="2" fillId="0" borderId="8" xfId="0" applyNumberFormat="1" applyFont="1" applyFill="1" applyBorder="1" applyAlignment="1">
      <alignment horizontal="right"/>
    </xf>
    <xf numFmtId="0" fontId="8" fillId="0" borderId="5" xfId="0" applyFont="1" applyFill="1" applyBorder="1" applyAlignment="1">
      <alignment horizontal="justify" vertical="top" wrapText="1"/>
    </xf>
    <xf numFmtId="0" fontId="0" fillId="0" borderId="0" xfId="0" applyFill="1"/>
  </cellXfs>
  <cellStyles count="4">
    <cellStyle name="xl30" xfId="3" xr:uid="{00000000-0005-0000-0000-000000000000}"/>
    <cellStyle name="Обычный" xfId="0" builtinId="0"/>
    <cellStyle name="Обычный 2" xfId="1" xr:uid="{00000000-0005-0000-0000-000002000000}"/>
    <cellStyle name="Обычный 3"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C60EA-CDBE-4866-85D3-E0633E9D0584}">
  <sheetPr>
    <pageSetUpPr fitToPage="1"/>
  </sheetPr>
  <dimension ref="A1:N183"/>
  <sheetViews>
    <sheetView tabSelected="1" zoomScale="80" zoomScaleNormal="80" workbookViewId="0">
      <selection sqref="A1:H183"/>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6" t="s">
        <v>276</v>
      </c>
      <c r="B1" s="7"/>
      <c r="C1" s="7"/>
      <c r="D1" s="7"/>
      <c r="E1" s="7"/>
      <c r="F1" s="7"/>
      <c r="G1" s="7"/>
      <c r="H1" s="7"/>
    </row>
    <row r="2" spans="1:14" ht="36" customHeight="1" x14ac:dyDescent="0.3">
      <c r="A2" s="8" t="s">
        <v>259</v>
      </c>
      <c r="B2" s="9"/>
      <c r="C2" s="9"/>
      <c r="D2" s="9"/>
      <c r="E2" s="9"/>
      <c r="F2" s="9"/>
      <c r="G2" s="9"/>
      <c r="H2" s="9"/>
    </row>
    <row r="3" spans="1:14" ht="22.5" customHeight="1" x14ac:dyDescent="0.25">
      <c r="A3" s="10" t="s">
        <v>324</v>
      </c>
      <c r="B3" s="11"/>
      <c r="C3" s="11"/>
      <c r="D3" s="11"/>
      <c r="E3" s="11"/>
      <c r="F3" s="11"/>
      <c r="G3" s="11"/>
      <c r="H3" s="11"/>
    </row>
    <row r="4" spans="1:14" ht="19.5" x14ac:dyDescent="0.25">
      <c r="A4" s="12"/>
      <c r="B4" s="13"/>
      <c r="C4" s="13"/>
      <c r="D4" s="13"/>
      <c r="E4" s="13"/>
      <c r="F4" s="13"/>
      <c r="G4" s="14" t="s">
        <v>0</v>
      </c>
      <c r="H4" s="14"/>
    </row>
    <row r="5" spans="1:14" ht="47.25" x14ac:dyDescent="0.25">
      <c r="A5" s="15" t="s">
        <v>1</v>
      </c>
      <c r="B5" s="15" t="s">
        <v>2</v>
      </c>
      <c r="C5" s="15" t="s">
        <v>256</v>
      </c>
      <c r="D5" s="15" t="s">
        <v>257</v>
      </c>
      <c r="E5" s="15" t="s">
        <v>258</v>
      </c>
      <c r="F5" s="16" t="s">
        <v>193</v>
      </c>
      <c r="G5" s="17" t="s">
        <v>215</v>
      </c>
      <c r="H5" s="17" t="s">
        <v>267</v>
      </c>
    </row>
    <row r="6" spans="1:14" ht="31.5" x14ac:dyDescent="0.25">
      <c r="A6" s="18" t="s">
        <v>3</v>
      </c>
      <c r="B6" s="19" t="s">
        <v>4</v>
      </c>
      <c r="C6" s="19"/>
      <c r="D6" s="19"/>
      <c r="E6" s="19"/>
      <c r="F6" s="20">
        <f>SUM(F7:F78)</f>
        <v>562317167.2900002</v>
      </c>
      <c r="G6" s="20">
        <f>SUM(G7:G78)</f>
        <v>434210063.07999998</v>
      </c>
      <c r="H6" s="20">
        <f>SUM(H7:H78)</f>
        <v>475000850.52999997</v>
      </c>
      <c r="L6" s="4"/>
      <c r="M6" s="4"/>
      <c r="N6" s="4"/>
    </row>
    <row r="7" spans="1:14" ht="63" x14ac:dyDescent="0.25">
      <c r="A7" s="21" t="s">
        <v>198</v>
      </c>
      <c r="B7" s="22" t="s">
        <v>4</v>
      </c>
      <c r="C7" s="22" t="s">
        <v>6</v>
      </c>
      <c r="D7" s="22" t="s">
        <v>199</v>
      </c>
      <c r="E7" s="22" t="s">
        <v>8</v>
      </c>
      <c r="F7" s="23">
        <f>1158669+122482+353656.36-18000-6248-7500</f>
        <v>1603059.3599999999</v>
      </c>
      <c r="G7" s="23">
        <f>1158669+98700+353656.36</f>
        <v>1611025.3599999999</v>
      </c>
      <c r="H7" s="23">
        <f>1158669+98700+353656.36</f>
        <v>1611025.3599999999</v>
      </c>
    </row>
    <row r="8" spans="1:14" ht="31.5" x14ac:dyDescent="0.25">
      <c r="A8" s="21" t="s">
        <v>200</v>
      </c>
      <c r="B8" s="22" t="s">
        <v>4</v>
      </c>
      <c r="C8" s="22" t="s">
        <v>6</v>
      </c>
      <c r="D8" s="22" t="s">
        <v>199</v>
      </c>
      <c r="E8" s="22" t="s">
        <v>10</v>
      </c>
      <c r="F8" s="23">
        <f>13597113.64+150000+1262960.12+27066.94+6390-1052.75-1817208.67</f>
        <v>13225269.280000001</v>
      </c>
      <c r="G8" s="23">
        <f>12925295.64+150000</f>
        <v>13075295.640000001</v>
      </c>
      <c r="H8" s="23">
        <f>12925295.64+150000</f>
        <v>13075295.640000001</v>
      </c>
    </row>
    <row r="9" spans="1:14" ht="31.5" x14ac:dyDescent="0.25">
      <c r="A9" s="21" t="s">
        <v>201</v>
      </c>
      <c r="B9" s="22" t="s">
        <v>4</v>
      </c>
      <c r="C9" s="22" t="s">
        <v>6</v>
      </c>
      <c r="D9" s="22" t="s">
        <v>199</v>
      </c>
      <c r="E9" s="22" t="s">
        <v>12</v>
      </c>
      <c r="F9" s="23">
        <f>141400-128100</f>
        <v>13300</v>
      </c>
      <c r="G9" s="23">
        <v>141400</v>
      </c>
      <c r="H9" s="23">
        <v>141400</v>
      </c>
    </row>
    <row r="10" spans="1:14" ht="78.75" x14ac:dyDescent="0.25">
      <c r="A10" s="21" t="s">
        <v>5</v>
      </c>
      <c r="B10" s="22" t="s">
        <v>4</v>
      </c>
      <c r="C10" s="22" t="s">
        <v>6</v>
      </c>
      <c r="D10" s="22" t="s">
        <v>7</v>
      </c>
      <c r="E10" s="22" t="s">
        <v>8</v>
      </c>
      <c r="F10" s="23">
        <f>32354059.17+109860-109860+9665380.72+105544.38-417884.06+3277+25512.68+4648</f>
        <v>41740537.890000001</v>
      </c>
      <c r="G10" s="23">
        <f>32354059.17+111260+9752701.35-21788945.81</f>
        <v>20429074.710000005</v>
      </c>
      <c r="H10" s="23">
        <f>32354059.17+111260+9752701.35</f>
        <v>42218020.520000003</v>
      </c>
    </row>
    <row r="11" spans="1:14" ht="47.25" x14ac:dyDescent="0.25">
      <c r="A11" s="21" t="s">
        <v>9</v>
      </c>
      <c r="B11" s="22" t="s">
        <v>4</v>
      </c>
      <c r="C11" s="22" t="s">
        <v>6</v>
      </c>
      <c r="D11" s="22" t="s">
        <v>7</v>
      </c>
      <c r="E11" s="22" t="s">
        <v>10</v>
      </c>
      <c r="F11" s="23">
        <f>8996779.94+16468860.5+7689525+52000+540000+74500+185100+470000+1815.79+57370-0.01+2958495.93+30000+9115252.33-1540701.12-3277+15000-4648+656730+100000-1576329.32-187713.92</f>
        <v>44098760.119999997</v>
      </c>
      <c r="G11" s="23">
        <f>21279241.17+27892126.15-30000000-5000000-1929028.79-70000-19110-9898053.53+18219296.14</f>
        <v>20474471.140000001</v>
      </c>
      <c r="H11" s="23">
        <f>21279241.17+27892126.15-30000000-5000000-3441611.56-50000-223423.59</f>
        <v>10456332.17</v>
      </c>
    </row>
    <row r="12" spans="1:14" ht="31.5" x14ac:dyDescent="0.25">
      <c r="A12" s="21" t="s">
        <v>11</v>
      </c>
      <c r="B12" s="22" t="s">
        <v>4</v>
      </c>
      <c r="C12" s="22" t="s">
        <v>6</v>
      </c>
      <c r="D12" s="22" t="s">
        <v>7</v>
      </c>
      <c r="E12" s="22" t="s">
        <v>12</v>
      </c>
      <c r="F12" s="24">
        <f>439765+8000-8000-62400-42027</f>
        <v>335338</v>
      </c>
      <c r="G12" s="24">
        <f>429177+9000</f>
        <v>438177</v>
      </c>
      <c r="H12" s="24">
        <f>429177+9000</f>
        <v>438177</v>
      </c>
    </row>
    <row r="13" spans="1:14" ht="141.75" x14ac:dyDescent="0.25">
      <c r="A13" s="21" t="s">
        <v>179</v>
      </c>
      <c r="B13" s="22" t="s">
        <v>4</v>
      </c>
      <c r="C13" s="22" t="s">
        <v>6</v>
      </c>
      <c r="D13" s="22" t="s">
        <v>13</v>
      </c>
      <c r="E13" s="22" t="s">
        <v>8</v>
      </c>
      <c r="F13" s="24">
        <f>52215985.41+15769227.59+2115908+349109+1309251</f>
        <v>71759481</v>
      </c>
      <c r="G13" s="24">
        <f>52983594.47+16001045.53</f>
        <v>68984640</v>
      </c>
      <c r="H13" s="24">
        <f>52983594.47+16001045.53</f>
        <v>68984640</v>
      </c>
    </row>
    <row r="14" spans="1:14" ht="110.25" x14ac:dyDescent="0.25">
      <c r="A14" s="21" t="s">
        <v>180</v>
      </c>
      <c r="B14" s="22" t="s">
        <v>4</v>
      </c>
      <c r="C14" s="22" t="s">
        <v>6</v>
      </c>
      <c r="D14" s="22" t="s">
        <v>13</v>
      </c>
      <c r="E14" s="22" t="s">
        <v>10</v>
      </c>
      <c r="F14" s="24">
        <v>347655</v>
      </c>
      <c r="G14" s="24">
        <v>347655</v>
      </c>
      <c r="H14" s="24">
        <v>347655</v>
      </c>
    </row>
    <row r="15" spans="1:14" ht="57" customHeight="1" x14ac:dyDescent="0.25">
      <c r="A15" s="21" t="s">
        <v>285</v>
      </c>
      <c r="B15" s="22" t="s">
        <v>4</v>
      </c>
      <c r="C15" s="22" t="s">
        <v>6</v>
      </c>
      <c r="D15" s="22" t="s">
        <v>284</v>
      </c>
      <c r="E15" s="22" t="s">
        <v>10</v>
      </c>
      <c r="F15" s="24">
        <f>4150782-4150782</f>
        <v>0</v>
      </c>
      <c r="G15" s="24">
        <v>0</v>
      </c>
      <c r="H15" s="24">
        <v>0</v>
      </c>
    </row>
    <row r="16" spans="1:14" ht="83.25" customHeight="1" x14ac:dyDescent="0.25">
      <c r="A16" s="21" t="s">
        <v>291</v>
      </c>
      <c r="B16" s="22" t="s">
        <v>4</v>
      </c>
      <c r="C16" s="22" t="s">
        <v>6</v>
      </c>
      <c r="D16" s="22" t="s">
        <v>290</v>
      </c>
      <c r="E16" s="22" t="s">
        <v>10</v>
      </c>
      <c r="F16" s="24">
        <f>1973125+404208</f>
        <v>2377333</v>
      </c>
      <c r="G16" s="24">
        <v>3049375</v>
      </c>
      <c r="H16" s="24">
        <v>3049375</v>
      </c>
    </row>
    <row r="17" spans="1:8" ht="52.5" customHeight="1" x14ac:dyDescent="0.25">
      <c r="A17" s="25" t="s">
        <v>271</v>
      </c>
      <c r="B17" s="26" t="s">
        <v>4</v>
      </c>
      <c r="C17" s="26" t="s">
        <v>6</v>
      </c>
      <c r="D17" s="26" t="s">
        <v>281</v>
      </c>
      <c r="E17" s="26" t="s">
        <v>10</v>
      </c>
      <c r="F17" s="23">
        <f>3300000+173684.21+0.01</f>
        <v>3473684.2199999997</v>
      </c>
      <c r="G17" s="23">
        <v>0</v>
      </c>
      <c r="H17" s="23">
        <v>0</v>
      </c>
    </row>
    <row r="18" spans="1:8" ht="78.75" x14ac:dyDescent="0.25">
      <c r="A18" s="21" t="s">
        <v>246</v>
      </c>
      <c r="B18" s="22" t="s">
        <v>4</v>
      </c>
      <c r="C18" s="22" t="s">
        <v>6</v>
      </c>
      <c r="D18" s="22" t="s">
        <v>245</v>
      </c>
      <c r="E18" s="22" t="s">
        <v>10</v>
      </c>
      <c r="F18" s="24">
        <f>8000000+421052.63</f>
        <v>8421052.6300000008</v>
      </c>
      <c r="G18" s="24">
        <v>0</v>
      </c>
      <c r="H18" s="24">
        <v>0</v>
      </c>
    </row>
    <row r="19" spans="1:8" ht="141.75" x14ac:dyDescent="0.25">
      <c r="A19" s="21" t="s">
        <v>14</v>
      </c>
      <c r="B19" s="22" t="s">
        <v>4</v>
      </c>
      <c r="C19" s="22" t="s">
        <v>6</v>
      </c>
      <c r="D19" s="22" t="s">
        <v>15</v>
      </c>
      <c r="E19" s="22" t="s">
        <v>8</v>
      </c>
      <c r="F19" s="24">
        <f>148000+44696</f>
        <v>192696</v>
      </c>
      <c r="G19" s="24">
        <f t="shared" ref="G19:H19" si="0">148000+44696</f>
        <v>192696</v>
      </c>
      <c r="H19" s="24">
        <f t="shared" si="0"/>
        <v>192696</v>
      </c>
    </row>
    <row r="20" spans="1:8" ht="126" x14ac:dyDescent="0.25">
      <c r="A20" s="21" t="s">
        <v>16</v>
      </c>
      <c r="B20" s="22" t="s">
        <v>4</v>
      </c>
      <c r="C20" s="22" t="s">
        <v>6</v>
      </c>
      <c r="D20" s="22" t="s">
        <v>15</v>
      </c>
      <c r="E20" s="22" t="s">
        <v>10</v>
      </c>
      <c r="F20" s="24">
        <f>261984+212466</f>
        <v>474450</v>
      </c>
      <c r="G20" s="24">
        <v>261984</v>
      </c>
      <c r="H20" s="24">
        <v>261984</v>
      </c>
    </row>
    <row r="21" spans="1:8" ht="47.25" x14ac:dyDescent="0.25">
      <c r="A21" s="27" t="s">
        <v>17</v>
      </c>
      <c r="B21" s="26" t="s">
        <v>4</v>
      </c>
      <c r="C21" s="26" t="s">
        <v>6</v>
      </c>
      <c r="D21" s="26" t="s">
        <v>18</v>
      </c>
      <c r="E21" s="26" t="s">
        <v>10</v>
      </c>
      <c r="F21" s="23">
        <f>2260596-2260596+1539776-17215.17-14373.16</f>
        <v>1508187.6700000002</v>
      </c>
      <c r="G21" s="23">
        <f>2017876-2017876</f>
        <v>0</v>
      </c>
      <c r="H21" s="23">
        <f>2017876-2017876</f>
        <v>0</v>
      </c>
    </row>
    <row r="22" spans="1:8" ht="31.5" x14ac:dyDescent="0.25">
      <c r="A22" s="28" t="s">
        <v>19</v>
      </c>
      <c r="B22" s="26" t="s">
        <v>4</v>
      </c>
      <c r="C22" s="26" t="s">
        <v>6</v>
      </c>
      <c r="D22" s="26" t="s">
        <v>20</v>
      </c>
      <c r="E22" s="26" t="s">
        <v>10</v>
      </c>
      <c r="F22" s="23">
        <f>285000+340000-33100+249753.4+64983+99778</f>
        <v>1006414.4</v>
      </c>
      <c r="G22" s="23">
        <f>2636000-2636000</f>
        <v>0</v>
      </c>
      <c r="H22" s="23">
        <f>2370000-2370000</f>
        <v>0</v>
      </c>
    </row>
    <row r="23" spans="1:8" ht="63" x14ac:dyDescent="0.25">
      <c r="A23" s="28" t="s">
        <v>309</v>
      </c>
      <c r="B23" s="26" t="s">
        <v>4</v>
      </c>
      <c r="C23" s="26" t="s">
        <v>6</v>
      </c>
      <c r="D23" s="26" t="s">
        <v>22</v>
      </c>
      <c r="E23" s="26" t="s">
        <v>8</v>
      </c>
      <c r="F23" s="23">
        <f>5528+6014+5124</f>
        <v>16666</v>
      </c>
      <c r="G23" s="23">
        <v>0</v>
      </c>
      <c r="H23" s="23">
        <v>0</v>
      </c>
    </row>
    <row r="24" spans="1:8" ht="31.5" x14ac:dyDescent="0.25">
      <c r="A24" s="28" t="s">
        <v>21</v>
      </c>
      <c r="B24" s="26" t="s">
        <v>4</v>
      </c>
      <c r="C24" s="26" t="s">
        <v>6</v>
      </c>
      <c r="D24" s="26" t="s">
        <v>22</v>
      </c>
      <c r="E24" s="26" t="s">
        <v>10</v>
      </c>
      <c r="F24" s="23">
        <f>1648340-329300-24270-149020-5528-6014-5124</f>
        <v>1129084</v>
      </c>
      <c r="G24" s="23">
        <v>1293390</v>
      </c>
      <c r="H24" s="23">
        <v>1293390</v>
      </c>
    </row>
    <row r="25" spans="1:8" ht="34.5" customHeight="1" x14ac:dyDescent="0.25">
      <c r="A25" s="25" t="s">
        <v>158</v>
      </c>
      <c r="B25" s="26" t="s">
        <v>4</v>
      </c>
      <c r="C25" s="26" t="s">
        <v>6</v>
      </c>
      <c r="D25" s="26" t="s">
        <v>159</v>
      </c>
      <c r="E25" s="26" t="s">
        <v>10</v>
      </c>
      <c r="F25" s="23">
        <v>600000</v>
      </c>
      <c r="G25" s="23">
        <f>1500000-1500000</f>
        <v>0</v>
      </c>
      <c r="H25" s="23">
        <f>1500000-1500000</f>
        <v>0</v>
      </c>
    </row>
    <row r="26" spans="1:8" ht="83.25" customHeight="1" x14ac:dyDescent="0.25">
      <c r="A26" s="21" t="s">
        <v>291</v>
      </c>
      <c r="B26" s="22" t="s">
        <v>4</v>
      </c>
      <c r="C26" s="22" t="s">
        <v>23</v>
      </c>
      <c r="D26" s="22" t="s">
        <v>290</v>
      </c>
      <c r="E26" s="22" t="s">
        <v>10</v>
      </c>
      <c r="F26" s="24">
        <f>56375+37313</f>
        <v>93688</v>
      </c>
      <c r="G26" s="24">
        <v>87125</v>
      </c>
      <c r="H26" s="24">
        <v>87125</v>
      </c>
    </row>
    <row r="27" spans="1:8" ht="63" x14ac:dyDescent="0.25">
      <c r="A27" s="21" t="s">
        <v>198</v>
      </c>
      <c r="B27" s="22" t="s">
        <v>4</v>
      </c>
      <c r="C27" s="22" t="s">
        <v>23</v>
      </c>
      <c r="D27" s="22" t="s">
        <v>202</v>
      </c>
      <c r="E27" s="22" t="s">
        <v>8</v>
      </c>
      <c r="F27" s="24">
        <f>66675+20135+6222.91+1879.32</f>
        <v>94912.23000000001</v>
      </c>
      <c r="G27" s="24">
        <f t="shared" ref="G27:H27" si="1">66675+20135</f>
        <v>86810</v>
      </c>
      <c r="H27" s="24">
        <f t="shared" si="1"/>
        <v>86810</v>
      </c>
    </row>
    <row r="28" spans="1:8" ht="31.5" x14ac:dyDescent="0.25">
      <c r="A28" s="21" t="s">
        <v>200</v>
      </c>
      <c r="B28" s="22" t="s">
        <v>4</v>
      </c>
      <c r="C28" s="22" t="s">
        <v>23</v>
      </c>
      <c r="D28" s="22" t="s">
        <v>202</v>
      </c>
      <c r="E28" s="22" t="s">
        <v>10</v>
      </c>
      <c r="F28" s="23">
        <f>1970950+95753.79+4922+705632.7+10080+133920-375000</f>
        <v>2546258.4900000002</v>
      </c>
      <c r="G28" s="23">
        <v>1967850</v>
      </c>
      <c r="H28" s="23">
        <v>1967850</v>
      </c>
    </row>
    <row r="29" spans="1:8" ht="78.75" x14ac:dyDescent="0.25">
      <c r="A29" s="28" t="s">
        <v>24</v>
      </c>
      <c r="B29" s="26" t="s">
        <v>4</v>
      </c>
      <c r="C29" s="26" t="s">
        <v>23</v>
      </c>
      <c r="D29" s="26" t="s">
        <v>25</v>
      </c>
      <c r="E29" s="26" t="s">
        <v>8</v>
      </c>
      <c r="F29" s="23">
        <f>10888786.62+127400+3288411.56-127400+1310+2292.96+2848+8000</f>
        <v>14191649.140000001</v>
      </c>
      <c r="G29" s="23">
        <f t="shared" ref="G29:H29" si="2">10888786.62+127400+3288411.56</f>
        <v>14304598.18</v>
      </c>
      <c r="H29" s="23">
        <f t="shared" si="2"/>
        <v>14304598.18</v>
      </c>
    </row>
    <row r="30" spans="1:8" ht="47.25" x14ac:dyDescent="0.25">
      <c r="A30" s="28" t="s">
        <v>26</v>
      </c>
      <c r="B30" s="26" t="s">
        <v>4</v>
      </c>
      <c r="C30" s="26" t="s">
        <v>23</v>
      </c>
      <c r="D30" s="26" t="s">
        <v>25</v>
      </c>
      <c r="E30" s="26" t="s">
        <v>10</v>
      </c>
      <c r="F30" s="23">
        <f>7336380+15522107.04+108173.6+57000-0.01+53167.48+1836277.82+60000-895318.44+8587624.21+149400-1310-55770-781169.02+23000+300000+150000+30000+242778.62+261040.06-2848+200410-1253755.56-1671083.97-375000+375000</f>
        <v>30256103.830000002</v>
      </c>
      <c r="G30" s="23">
        <f>6244072.2+12615220+25207590-34000000-3863184+425200+13031741.8</f>
        <v>19660640.000000004</v>
      </c>
      <c r="H30" s="23">
        <f>8715535.99+12615220+25207590-36000000-3189840</f>
        <v>7348505.9900000021</v>
      </c>
    </row>
    <row r="31" spans="1:8" ht="33.75" customHeight="1" x14ac:dyDescent="0.25">
      <c r="A31" s="28" t="s">
        <v>27</v>
      </c>
      <c r="B31" s="26" t="s">
        <v>4</v>
      </c>
      <c r="C31" s="26" t="s">
        <v>23</v>
      </c>
      <c r="D31" s="26" t="s">
        <v>25</v>
      </c>
      <c r="E31" s="26" t="s">
        <v>12</v>
      </c>
      <c r="F31" s="23">
        <f>1125550+5000-5000-5516.94-163087.06</f>
        <v>956946</v>
      </c>
      <c r="G31" s="23">
        <f>1124850+6000</f>
        <v>1130850</v>
      </c>
      <c r="H31" s="23">
        <f>1124850+6000</f>
        <v>1130850</v>
      </c>
    </row>
    <row r="32" spans="1:8" ht="161.25" customHeight="1" x14ac:dyDescent="0.25">
      <c r="A32" s="28" t="s">
        <v>316</v>
      </c>
      <c r="B32" s="26" t="s">
        <v>4</v>
      </c>
      <c r="C32" s="26" t="s">
        <v>23</v>
      </c>
      <c r="D32" s="26" t="s">
        <v>315</v>
      </c>
      <c r="E32" s="26" t="s">
        <v>8</v>
      </c>
      <c r="F32" s="23">
        <v>156240</v>
      </c>
      <c r="G32" s="23">
        <v>0</v>
      </c>
      <c r="H32" s="23">
        <v>0</v>
      </c>
    </row>
    <row r="33" spans="1:8" ht="173.25" x14ac:dyDescent="0.25">
      <c r="A33" s="25" t="s">
        <v>184</v>
      </c>
      <c r="B33" s="26" t="s">
        <v>4</v>
      </c>
      <c r="C33" s="26" t="s">
        <v>23</v>
      </c>
      <c r="D33" s="26" t="s">
        <v>28</v>
      </c>
      <c r="E33" s="26" t="s">
        <v>8</v>
      </c>
      <c r="F33" s="23">
        <f>63679151.31+19231103.69+77792+1277036.1+385664.9-996144.04</f>
        <v>83654603.959999993</v>
      </c>
      <c r="G33" s="23">
        <f>64555415.51+19495735.49</f>
        <v>84051151</v>
      </c>
      <c r="H33" s="23">
        <f>64555415.51+19495735.49</f>
        <v>84051151</v>
      </c>
    </row>
    <row r="34" spans="1:8" ht="141.75" x14ac:dyDescent="0.25">
      <c r="A34" s="25" t="s">
        <v>185</v>
      </c>
      <c r="B34" s="26" t="s">
        <v>4</v>
      </c>
      <c r="C34" s="26" t="s">
        <v>23</v>
      </c>
      <c r="D34" s="26" t="s">
        <v>28</v>
      </c>
      <c r="E34" s="26" t="s">
        <v>10</v>
      </c>
      <c r="F34" s="23">
        <f>2209693+212935</f>
        <v>2422628</v>
      </c>
      <c r="G34" s="23">
        <v>2209693</v>
      </c>
      <c r="H34" s="23">
        <v>2209693</v>
      </c>
    </row>
    <row r="35" spans="1:8" ht="141.75" x14ac:dyDescent="0.25">
      <c r="A35" s="25" t="s">
        <v>29</v>
      </c>
      <c r="B35" s="29" t="s">
        <v>4</v>
      </c>
      <c r="C35" s="29" t="s">
        <v>23</v>
      </c>
      <c r="D35" s="29" t="s">
        <v>30</v>
      </c>
      <c r="E35" s="29" t="s">
        <v>31</v>
      </c>
      <c r="F35" s="30">
        <f>1862516+42910.17-93923.51</f>
        <v>1811502.66</v>
      </c>
      <c r="G35" s="30">
        <v>1886573</v>
      </c>
      <c r="H35" s="30">
        <v>1886573</v>
      </c>
    </row>
    <row r="36" spans="1:8" ht="167.25" customHeight="1" x14ac:dyDescent="0.25">
      <c r="A36" s="31" t="s">
        <v>266</v>
      </c>
      <c r="B36" s="26" t="s">
        <v>4</v>
      </c>
      <c r="C36" s="26" t="s">
        <v>23</v>
      </c>
      <c r="D36" s="26" t="s">
        <v>265</v>
      </c>
      <c r="E36" s="26" t="s">
        <v>8</v>
      </c>
      <c r="F36" s="23">
        <f>4452840-31248</f>
        <v>4421592</v>
      </c>
      <c r="G36" s="23">
        <v>4405968</v>
      </c>
      <c r="H36" s="23">
        <v>4405968</v>
      </c>
    </row>
    <row r="37" spans="1:8" ht="330.75" x14ac:dyDescent="0.25">
      <c r="A37" s="21" t="s">
        <v>289</v>
      </c>
      <c r="B37" s="29" t="s">
        <v>4</v>
      </c>
      <c r="C37" s="29" t="s">
        <v>23</v>
      </c>
      <c r="D37" s="29" t="s">
        <v>233</v>
      </c>
      <c r="E37" s="29" t="s">
        <v>10</v>
      </c>
      <c r="F37" s="30">
        <f>326638+1060.8+441726.12</f>
        <v>769424.91999999993</v>
      </c>
      <c r="G37" s="30">
        <f>339721.2+1060.8</f>
        <v>340782</v>
      </c>
      <c r="H37" s="30">
        <f>353290.6</f>
        <v>353290.6</v>
      </c>
    </row>
    <row r="38" spans="1:8" ht="47.25" x14ac:dyDescent="0.25">
      <c r="A38" s="27" t="s">
        <v>301</v>
      </c>
      <c r="B38" s="29" t="s">
        <v>4</v>
      </c>
      <c r="C38" s="29" t="s">
        <v>23</v>
      </c>
      <c r="D38" s="29" t="s">
        <v>300</v>
      </c>
      <c r="E38" s="29" t="s">
        <v>10</v>
      </c>
      <c r="F38" s="30">
        <f>50440000+2654736.84</f>
        <v>53094736.840000004</v>
      </c>
      <c r="G38" s="30">
        <f>91500549.45+4815818.39-96316367.84</f>
        <v>0</v>
      </c>
      <c r="H38" s="30">
        <f>125495000+6605000-132100000</f>
        <v>0</v>
      </c>
    </row>
    <row r="39" spans="1:8" ht="94.5" x14ac:dyDescent="0.25">
      <c r="A39" s="21" t="s">
        <v>186</v>
      </c>
      <c r="B39" s="29" t="s">
        <v>4</v>
      </c>
      <c r="C39" s="29" t="s">
        <v>23</v>
      </c>
      <c r="D39" s="29" t="s">
        <v>32</v>
      </c>
      <c r="E39" s="29" t="s">
        <v>10</v>
      </c>
      <c r="F39" s="30">
        <f>12119600+44651.16-1479478</f>
        <v>10684773.16</v>
      </c>
      <c r="G39" s="30">
        <f>12235284+57956.61</f>
        <v>12293240.609999999</v>
      </c>
      <c r="H39" s="30">
        <f>12061261.13+63480.32</f>
        <v>12124741.450000001</v>
      </c>
    </row>
    <row r="40" spans="1:8" ht="50.25" customHeight="1" x14ac:dyDescent="0.25">
      <c r="A40" s="27" t="s">
        <v>301</v>
      </c>
      <c r="B40" s="29" t="s">
        <v>4</v>
      </c>
      <c r="C40" s="29" t="s">
        <v>23</v>
      </c>
      <c r="D40" s="29" t="s">
        <v>280</v>
      </c>
      <c r="E40" s="29" t="s">
        <v>10</v>
      </c>
      <c r="F40" s="30">
        <f>70347526.89+3702501.42-3443326.33+2653994+742.84-2654736.84</f>
        <v>70606701.980000004</v>
      </c>
      <c r="G40" s="30">
        <f>91500549.45+4815818.39</f>
        <v>96316367.840000004</v>
      </c>
      <c r="H40" s="30">
        <f>125495000+6605000</f>
        <v>132100000</v>
      </c>
    </row>
    <row r="41" spans="1:8" ht="211.5" customHeight="1" x14ac:dyDescent="0.25">
      <c r="A41" s="21" t="s">
        <v>237</v>
      </c>
      <c r="B41" s="26" t="s">
        <v>4</v>
      </c>
      <c r="C41" s="26" t="s">
        <v>23</v>
      </c>
      <c r="D41" s="26" t="s">
        <v>238</v>
      </c>
      <c r="E41" s="26" t="s">
        <v>8</v>
      </c>
      <c r="F41" s="23">
        <f>7421400+1236900+4869480-26040</f>
        <v>13501740</v>
      </c>
      <c r="G41" s="23">
        <v>7343280</v>
      </c>
      <c r="H41" s="23">
        <v>7421400</v>
      </c>
    </row>
    <row r="42" spans="1:8" ht="31.5" x14ac:dyDescent="0.25">
      <c r="A42" s="27" t="s">
        <v>268</v>
      </c>
      <c r="B42" s="29" t="s">
        <v>4</v>
      </c>
      <c r="C42" s="29" t="s">
        <v>23</v>
      </c>
      <c r="D42" s="29" t="s">
        <v>269</v>
      </c>
      <c r="E42" s="29" t="s">
        <v>10</v>
      </c>
      <c r="F42" s="30">
        <f>70347526.89+3702501.42-3443326.33-70606701.98</f>
        <v>0</v>
      </c>
      <c r="G42" s="30">
        <f>91500549.45+4815818.39-96316367.84</f>
        <v>0</v>
      </c>
      <c r="H42" s="30">
        <f>125495000+6605000-132100000</f>
        <v>0</v>
      </c>
    </row>
    <row r="43" spans="1:8" ht="52.5" customHeight="1" x14ac:dyDescent="0.25">
      <c r="A43" s="21" t="s">
        <v>271</v>
      </c>
      <c r="B43" s="29" t="s">
        <v>4</v>
      </c>
      <c r="C43" s="29" t="s">
        <v>23</v>
      </c>
      <c r="D43" s="29" t="s">
        <v>270</v>
      </c>
      <c r="E43" s="29" t="s">
        <v>10</v>
      </c>
      <c r="F43" s="30">
        <f>400000+21052.63+0.01+2631.58+50000</f>
        <v>473684.22000000003</v>
      </c>
      <c r="G43" s="30">
        <v>0</v>
      </c>
      <c r="H43" s="30">
        <v>0</v>
      </c>
    </row>
    <row r="44" spans="1:8" ht="94.5" x14ac:dyDescent="0.25">
      <c r="A44" s="32" t="s">
        <v>224</v>
      </c>
      <c r="B44" s="26" t="s">
        <v>4</v>
      </c>
      <c r="C44" s="26" t="s">
        <v>23</v>
      </c>
      <c r="D44" s="26" t="s">
        <v>223</v>
      </c>
      <c r="E44" s="26" t="s">
        <v>10</v>
      </c>
      <c r="F44" s="23">
        <v>50697</v>
      </c>
      <c r="G44" s="23">
        <v>50697</v>
      </c>
      <c r="H44" s="23">
        <v>50697</v>
      </c>
    </row>
    <row r="45" spans="1:8" ht="47.25" x14ac:dyDescent="0.25">
      <c r="A45" s="27" t="s">
        <v>17</v>
      </c>
      <c r="B45" s="26" t="s">
        <v>4</v>
      </c>
      <c r="C45" s="26" t="s">
        <v>23</v>
      </c>
      <c r="D45" s="26" t="s">
        <v>18</v>
      </c>
      <c r="E45" s="26" t="s">
        <v>10</v>
      </c>
      <c r="F45" s="23">
        <f>6665200-6665200+1138100-49647.48</f>
        <v>1088452.52</v>
      </c>
      <c r="G45" s="23">
        <f>3416200-3416200</f>
        <v>0</v>
      </c>
      <c r="H45" s="23">
        <f>3416200-3416200</f>
        <v>0</v>
      </c>
    </row>
    <row r="46" spans="1:8" ht="31.5" x14ac:dyDescent="0.25">
      <c r="A46" s="33" t="s">
        <v>19</v>
      </c>
      <c r="B46" s="29" t="s">
        <v>4</v>
      </c>
      <c r="C46" s="29" t="s">
        <v>23</v>
      </c>
      <c r="D46" s="29" t="s">
        <v>20</v>
      </c>
      <c r="E46" s="29" t="s">
        <v>10</v>
      </c>
      <c r="F46" s="30">
        <f>210000+3443326.33+6531491.44+333883.4+398492+200000-1000000-742.84+237703.98+930000+580000</f>
        <v>11864154.310000001</v>
      </c>
      <c r="G46" s="30">
        <f>9025000-9025000</f>
        <v>0</v>
      </c>
      <c r="H46" s="30">
        <f>15160000-15160000</f>
        <v>0</v>
      </c>
    </row>
    <row r="47" spans="1:8" ht="147.75" customHeight="1" x14ac:dyDescent="0.25">
      <c r="A47" s="33" t="s">
        <v>244</v>
      </c>
      <c r="B47" s="29" t="s">
        <v>4</v>
      </c>
      <c r="C47" s="29" t="s">
        <v>23</v>
      </c>
      <c r="D47" s="29" t="s">
        <v>243</v>
      </c>
      <c r="E47" s="29" t="s">
        <v>8</v>
      </c>
      <c r="F47" s="30">
        <v>1370274.84</v>
      </c>
      <c r="G47" s="30">
        <v>1370274.84</v>
      </c>
      <c r="H47" s="30">
        <v>1526994.96</v>
      </c>
    </row>
    <row r="48" spans="1:8" ht="76.5" customHeight="1" x14ac:dyDescent="0.25">
      <c r="A48" s="33" t="s">
        <v>33</v>
      </c>
      <c r="B48" s="29" t="s">
        <v>4</v>
      </c>
      <c r="C48" s="29" t="s">
        <v>23</v>
      </c>
      <c r="D48" s="29" t="s">
        <v>34</v>
      </c>
      <c r="E48" s="29" t="s">
        <v>8</v>
      </c>
      <c r="F48" s="30">
        <f>25000+7550+52080</f>
        <v>84630</v>
      </c>
      <c r="G48" s="30">
        <v>0</v>
      </c>
      <c r="H48" s="30">
        <v>0</v>
      </c>
    </row>
    <row r="49" spans="1:8" ht="47.25" x14ac:dyDescent="0.25">
      <c r="A49" s="34" t="s">
        <v>35</v>
      </c>
      <c r="B49" s="29" t="s">
        <v>4</v>
      </c>
      <c r="C49" s="29" t="s">
        <v>23</v>
      </c>
      <c r="D49" s="29" t="s">
        <v>36</v>
      </c>
      <c r="E49" s="29" t="s">
        <v>10</v>
      </c>
      <c r="F49" s="30">
        <f>68000</f>
        <v>68000</v>
      </c>
      <c r="G49" s="30">
        <v>70000</v>
      </c>
      <c r="H49" s="30">
        <v>70000</v>
      </c>
    </row>
    <row r="50" spans="1:8" ht="63" x14ac:dyDescent="0.25">
      <c r="A50" s="34" t="s">
        <v>309</v>
      </c>
      <c r="B50" s="29" t="s">
        <v>4</v>
      </c>
      <c r="C50" s="29" t="s">
        <v>23</v>
      </c>
      <c r="D50" s="29" t="s">
        <v>22</v>
      </c>
      <c r="E50" s="29" t="s">
        <v>8</v>
      </c>
      <c r="F50" s="30">
        <f>2400+6310</f>
        <v>8710</v>
      </c>
      <c r="G50" s="30">
        <v>0</v>
      </c>
      <c r="H50" s="30">
        <v>0</v>
      </c>
    </row>
    <row r="51" spans="1:8" ht="31.5" x14ac:dyDescent="0.25">
      <c r="A51" s="34" t="s">
        <v>21</v>
      </c>
      <c r="B51" s="29" t="s">
        <v>4</v>
      </c>
      <c r="C51" s="29" t="s">
        <v>23</v>
      </c>
      <c r="D51" s="29" t="s">
        <v>22</v>
      </c>
      <c r="E51" s="29" t="s">
        <v>10</v>
      </c>
      <c r="F51" s="30">
        <f>808900-3520-2400-6310</f>
        <v>796670</v>
      </c>
      <c r="G51" s="30">
        <v>997700</v>
      </c>
      <c r="H51" s="30">
        <v>997700</v>
      </c>
    </row>
    <row r="52" spans="1:8" ht="58.5" customHeight="1" x14ac:dyDescent="0.25">
      <c r="A52" s="33" t="s">
        <v>213</v>
      </c>
      <c r="B52" s="29" t="s">
        <v>4</v>
      </c>
      <c r="C52" s="29" t="s">
        <v>37</v>
      </c>
      <c r="D52" s="29" t="s">
        <v>212</v>
      </c>
      <c r="E52" s="29" t="s">
        <v>31</v>
      </c>
      <c r="F52" s="30">
        <f>4723602-26640-26640-26640</f>
        <v>4643682</v>
      </c>
      <c r="G52" s="30">
        <f>4929553+28280+28280+28280</f>
        <v>5014393</v>
      </c>
      <c r="H52" s="30">
        <f>5194510+29800+29800+29800</f>
        <v>5283910</v>
      </c>
    </row>
    <row r="53" spans="1:8" ht="47.25" x14ac:dyDescent="0.25">
      <c r="A53" s="33" t="s">
        <v>214</v>
      </c>
      <c r="B53" s="29" t="s">
        <v>4</v>
      </c>
      <c r="C53" s="29" t="s">
        <v>37</v>
      </c>
      <c r="D53" s="29" t="s">
        <v>212</v>
      </c>
      <c r="E53" s="29" t="s">
        <v>12</v>
      </c>
      <c r="F53" s="30">
        <f>28434-28434</f>
        <v>0</v>
      </c>
      <c r="G53" s="30">
        <f>30184</f>
        <v>30184</v>
      </c>
      <c r="H53" s="30">
        <f>31807</f>
        <v>31807</v>
      </c>
    </row>
    <row r="54" spans="1:8" ht="47.25" x14ac:dyDescent="0.25">
      <c r="A54" s="34" t="s">
        <v>160</v>
      </c>
      <c r="B54" s="29" t="s">
        <v>4</v>
      </c>
      <c r="C54" s="29" t="s">
        <v>37</v>
      </c>
      <c r="D54" s="29" t="s">
        <v>38</v>
      </c>
      <c r="E54" s="29" t="s">
        <v>31</v>
      </c>
      <c r="F54" s="30">
        <f>4151499.6+100000+361772.63+50106.17+27441.72+556546.41</f>
        <v>5247366.5299999993</v>
      </c>
      <c r="G54" s="30">
        <f t="shared" ref="G54:H54" si="3">4151499.6</f>
        <v>4151499.6</v>
      </c>
      <c r="H54" s="30">
        <f t="shared" si="3"/>
        <v>4151499.6</v>
      </c>
    </row>
    <row r="55" spans="1:8" ht="94.5" x14ac:dyDescent="0.25">
      <c r="A55" s="25" t="s">
        <v>240</v>
      </c>
      <c r="B55" s="29" t="s">
        <v>4</v>
      </c>
      <c r="C55" s="29" t="s">
        <v>37</v>
      </c>
      <c r="D55" s="29" t="s">
        <v>239</v>
      </c>
      <c r="E55" s="29" t="s">
        <v>31</v>
      </c>
      <c r="F55" s="30">
        <f>119192+12</f>
        <v>119204</v>
      </c>
      <c r="G55" s="30">
        <v>0</v>
      </c>
      <c r="H55" s="30">
        <v>0</v>
      </c>
    </row>
    <row r="56" spans="1:8" ht="47.25" x14ac:dyDescent="0.25">
      <c r="A56" s="28" t="s">
        <v>42</v>
      </c>
      <c r="B56" s="26" t="s">
        <v>4</v>
      </c>
      <c r="C56" s="26" t="s">
        <v>43</v>
      </c>
      <c r="D56" s="26" t="s">
        <v>25</v>
      </c>
      <c r="E56" s="26" t="s">
        <v>31</v>
      </c>
      <c r="F56" s="23">
        <f>11036330.51+1500000+3997304+2752671.4+96696+104969.45+567407.72+1689001.2</f>
        <v>21744380.279999997</v>
      </c>
      <c r="G56" s="23">
        <f>10041963.22+3863184</f>
        <v>13905147.220000001</v>
      </c>
      <c r="H56" s="23">
        <f>15767599.02+3189840</f>
        <v>18957439.02</v>
      </c>
    </row>
    <row r="57" spans="1:8" ht="63" x14ac:dyDescent="0.25">
      <c r="A57" s="27" t="s">
        <v>287</v>
      </c>
      <c r="B57" s="26" t="s">
        <v>4</v>
      </c>
      <c r="C57" s="26" t="s">
        <v>43</v>
      </c>
      <c r="D57" s="26" t="s">
        <v>45</v>
      </c>
      <c r="E57" s="26" t="s">
        <v>8</v>
      </c>
      <c r="F57" s="23">
        <f>2616.4+7101.8+1939.4</f>
        <v>11657.6</v>
      </c>
      <c r="G57" s="23">
        <v>0</v>
      </c>
      <c r="H57" s="23">
        <v>0</v>
      </c>
    </row>
    <row r="58" spans="1:8" ht="31.5" x14ac:dyDescent="0.25">
      <c r="A58" s="27" t="s">
        <v>44</v>
      </c>
      <c r="B58" s="26" t="s">
        <v>4</v>
      </c>
      <c r="C58" s="26" t="s">
        <v>43</v>
      </c>
      <c r="D58" s="26" t="s">
        <v>45</v>
      </c>
      <c r="E58" s="26" t="s">
        <v>10</v>
      </c>
      <c r="F58" s="23">
        <f>180000-2616.4-7101.8+61737.6</f>
        <v>232019.40000000002</v>
      </c>
      <c r="G58" s="23">
        <v>180000</v>
      </c>
      <c r="H58" s="23">
        <v>180000</v>
      </c>
    </row>
    <row r="59" spans="1:8" ht="31.5" x14ac:dyDescent="0.25">
      <c r="A59" s="27" t="s">
        <v>46</v>
      </c>
      <c r="B59" s="26" t="s">
        <v>4</v>
      </c>
      <c r="C59" s="26" t="s">
        <v>43</v>
      </c>
      <c r="D59" s="26" t="s">
        <v>45</v>
      </c>
      <c r="E59" s="26" t="s">
        <v>47</v>
      </c>
      <c r="F59" s="23">
        <f>120000-63677</f>
        <v>56323</v>
      </c>
      <c r="G59" s="23">
        <v>120000</v>
      </c>
      <c r="H59" s="23">
        <v>120000</v>
      </c>
    </row>
    <row r="60" spans="1:8" ht="63" x14ac:dyDescent="0.25">
      <c r="A60" s="27" t="s">
        <v>33</v>
      </c>
      <c r="B60" s="26" t="s">
        <v>4</v>
      </c>
      <c r="C60" s="26" t="s">
        <v>43</v>
      </c>
      <c r="D60" s="26" t="s">
        <v>34</v>
      </c>
      <c r="E60" s="26" t="s">
        <v>8</v>
      </c>
      <c r="F60" s="23">
        <f>136710-52080-65000-19630</f>
        <v>0</v>
      </c>
      <c r="G60" s="23">
        <f t="shared" ref="G60:H60" si="4">169260</f>
        <v>169260</v>
      </c>
      <c r="H60" s="23">
        <f t="shared" si="4"/>
        <v>169260</v>
      </c>
    </row>
    <row r="61" spans="1:8" ht="36" customHeight="1" x14ac:dyDescent="0.25">
      <c r="A61" s="35" t="s">
        <v>48</v>
      </c>
      <c r="B61" s="26" t="s">
        <v>4</v>
      </c>
      <c r="C61" s="26" t="s">
        <v>43</v>
      </c>
      <c r="D61" s="26" t="s">
        <v>34</v>
      </c>
      <c r="E61" s="26" t="s">
        <v>10</v>
      </c>
      <c r="F61" s="23">
        <f>2740-2740</f>
        <v>0</v>
      </c>
      <c r="G61" s="23">
        <v>2740</v>
      </c>
      <c r="H61" s="23">
        <v>2740</v>
      </c>
    </row>
    <row r="62" spans="1:8" ht="70.5" customHeight="1" x14ac:dyDescent="0.25">
      <c r="A62" s="36" t="s">
        <v>210</v>
      </c>
      <c r="B62" s="26" t="s">
        <v>4</v>
      </c>
      <c r="C62" s="26" t="s">
        <v>43</v>
      </c>
      <c r="D62" s="26" t="s">
        <v>39</v>
      </c>
      <c r="E62" s="26" t="s">
        <v>8</v>
      </c>
      <c r="F62" s="23">
        <f>207373.27+62626.73-13427.92-4055.14</f>
        <v>252516.93999999997</v>
      </c>
      <c r="G62" s="23">
        <f t="shared" ref="G62:H62" si="5">207373.27+62626.73</f>
        <v>270000</v>
      </c>
      <c r="H62" s="23">
        <f t="shared" si="5"/>
        <v>270000</v>
      </c>
    </row>
    <row r="63" spans="1:8" ht="51.75" customHeight="1" x14ac:dyDescent="0.25">
      <c r="A63" s="36" t="s">
        <v>274</v>
      </c>
      <c r="B63" s="26" t="s">
        <v>4</v>
      </c>
      <c r="C63" s="26" t="s">
        <v>43</v>
      </c>
      <c r="D63" s="26" t="s">
        <v>40</v>
      </c>
      <c r="E63" s="26" t="s">
        <v>10</v>
      </c>
      <c r="F63" s="23">
        <f>78474+40806</f>
        <v>119280</v>
      </c>
      <c r="G63" s="23">
        <f>78474+40806</f>
        <v>119280</v>
      </c>
      <c r="H63" s="23">
        <f>78474+40806</f>
        <v>119280</v>
      </c>
    </row>
    <row r="64" spans="1:8" ht="54.75" customHeight="1" x14ac:dyDescent="0.25">
      <c r="A64" s="36" t="s">
        <v>275</v>
      </c>
      <c r="B64" s="26" t="s">
        <v>4</v>
      </c>
      <c r="C64" s="26" t="s">
        <v>43</v>
      </c>
      <c r="D64" s="26" t="s">
        <v>40</v>
      </c>
      <c r="E64" s="26" t="s">
        <v>31</v>
      </c>
      <c r="F64" s="23">
        <f>667026+346854</f>
        <v>1013880</v>
      </c>
      <c r="G64" s="23">
        <f>667026+346854</f>
        <v>1013880</v>
      </c>
      <c r="H64" s="23">
        <f>667026+346854</f>
        <v>1013880</v>
      </c>
    </row>
    <row r="65" spans="1:11" ht="66.75" customHeight="1" x14ac:dyDescent="0.25">
      <c r="A65" s="36" t="s">
        <v>203</v>
      </c>
      <c r="B65" s="26" t="s">
        <v>4</v>
      </c>
      <c r="C65" s="26" t="s">
        <v>43</v>
      </c>
      <c r="D65" s="26" t="s">
        <v>41</v>
      </c>
      <c r="E65" s="26" t="s">
        <v>31</v>
      </c>
      <c r="F65" s="23">
        <v>59640</v>
      </c>
      <c r="G65" s="23">
        <v>59640</v>
      </c>
      <c r="H65" s="23">
        <v>59640</v>
      </c>
    </row>
    <row r="66" spans="1:11" ht="33.75" customHeight="1" x14ac:dyDescent="0.25">
      <c r="A66" s="35" t="s">
        <v>21</v>
      </c>
      <c r="B66" s="26" t="s">
        <v>4</v>
      </c>
      <c r="C66" s="26" t="s">
        <v>43</v>
      </c>
      <c r="D66" s="26" t="s">
        <v>22</v>
      </c>
      <c r="E66" s="26" t="s">
        <v>10</v>
      </c>
      <c r="F66" s="23">
        <f>22660+4940</f>
        <v>27600</v>
      </c>
      <c r="G66" s="23">
        <v>22660</v>
      </c>
      <c r="H66" s="23">
        <v>22660</v>
      </c>
    </row>
    <row r="67" spans="1:11" ht="81" customHeight="1" x14ac:dyDescent="0.25">
      <c r="A67" s="36" t="s">
        <v>50</v>
      </c>
      <c r="B67" s="26" t="s">
        <v>4</v>
      </c>
      <c r="C67" s="26" t="s">
        <v>43</v>
      </c>
      <c r="D67" s="26" t="s">
        <v>51</v>
      </c>
      <c r="E67" s="26" t="s">
        <v>8</v>
      </c>
      <c r="F67" s="23">
        <f>12340802+3726922+2608.9+200633.05</f>
        <v>16270965.950000001</v>
      </c>
      <c r="G67" s="23">
        <f t="shared" ref="G67:H67" si="6">12340802+3726922</f>
        <v>16067724</v>
      </c>
      <c r="H67" s="23">
        <f t="shared" si="6"/>
        <v>16067724</v>
      </c>
    </row>
    <row r="68" spans="1:11" ht="51.75" customHeight="1" x14ac:dyDescent="0.25">
      <c r="A68" s="36" t="s">
        <v>52</v>
      </c>
      <c r="B68" s="26" t="s">
        <v>4</v>
      </c>
      <c r="C68" s="26" t="s">
        <v>43</v>
      </c>
      <c r="D68" s="26" t="s">
        <v>51</v>
      </c>
      <c r="E68" s="26" t="s">
        <v>10</v>
      </c>
      <c r="F68" s="23">
        <f>1685723+626752-4940-2608.9+120000-24000+40685</f>
        <v>2441611.1</v>
      </c>
      <c r="G68" s="23">
        <f>1601099+650870+10761.4</f>
        <v>2262730.4</v>
      </c>
      <c r="H68" s="23">
        <f>1601099+650870</f>
        <v>2251969</v>
      </c>
    </row>
    <row r="69" spans="1:11" ht="36" customHeight="1" x14ac:dyDescent="0.25">
      <c r="A69" s="37" t="s">
        <v>53</v>
      </c>
      <c r="B69" s="29" t="s">
        <v>4</v>
      </c>
      <c r="C69" s="29" t="s">
        <v>43</v>
      </c>
      <c r="D69" s="26" t="s">
        <v>51</v>
      </c>
      <c r="E69" s="29" t="s">
        <v>12</v>
      </c>
      <c r="F69" s="30">
        <v>1940</v>
      </c>
      <c r="G69" s="30">
        <v>1940</v>
      </c>
      <c r="H69" s="30">
        <v>1940</v>
      </c>
    </row>
    <row r="70" spans="1:11" ht="293.25" customHeight="1" x14ac:dyDescent="0.25">
      <c r="A70" s="37" t="s">
        <v>253</v>
      </c>
      <c r="B70" s="29" t="s">
        <v>4</v>
      </c>
      <c r="C70" s="29" t="s">
        <v>55</v>
      </c>
      <c r="D70" s="26" t="s">
        <v>252</v>
      </c>
      <c r="E70" s="29" t="s">
        <v>10</v>
      </c>
      <c r="F70" s="30">
        <f>722181.25-144375</f>
        <v>577806.25</v>
      </c>
      <c r="G70" s="30">
        <f>885806.25-226843.75</f>
        <v>658962.5</v>
      </c>
      <c r="H70" s="30">
        <f>995137.5-224612.5</f>
        <v>770525</v>
      </c>
    </row>
    <row r="71" spans="1:11" ht="81.75" customHeight="1" x14ac:dyDescent="0.25">
      <c r="A71" s="36" t="s">
        <v>54</v>
      </c>
      <c r="B71" s="26" t="s">
        <v>4</v>
      </c>
      <c r="C71" s="26" t="s">
        <v>55</v>
      </c>
      <c r="D71" s="26" t="s">
        <v>56</v>
      </c>
      <c r="E71" s="26" t="s">
        <v>47</v>
      </c>
      <c r="F71" s="30">
        <f>1530194.97-359024.53-247983.73</f>
        <v>923186.71</v>
      </c>
      <c r="G71" s="30">
        <f>1530194.97-554856.09</f>
        <v>975338.88</v>
      </c>
      <c r="H71" s="30">
        <f>1530194.97-554856.09</f>
        <v>975338.88</v>
      </c>
    </row>
    <row r="72" spans="1:11" ht="81.75" customHeight="1" x14ac:dyDescent="0.25">
      <c r="A72" s="36" t="s">
        <v>306</v>
      </c>
      <c r="B72" s="26" t="s">
        <v>4</v>
      </c>
      <c r="C72" s="26" t="s">
        <v>302</v>
      </c>
      <c r="D72" s="26" t="s">
        <v>305</v>
      </c>
      <c r="E72" s="26" t="s">
        <v>47</v>
      </c>
      <c r="F72" s="30">
        <v>1020000</v>
      </c>
      <c r="G72" s="30">
        <v>840000</v>
      </c>
      <c r="H72" s="30">
        <v>840000</v>
      </c>
    </row>
    <row r="73" spans="1:11" ht="81.75" customHeight="1" x14ac:dyDescent="0.25">
      <c r="A73" s="36" t="s">
        <v>306</v>
      </c>
      <c r="B73" s="26" t="s">
        <v>4</v>
      </c>
      <c r="C73" s="26" t="s">
        <v>302</v>
      </c>
      <c r="D73" s="26" t="s">
        <v>307</v>
      </c>
      <c r="E73" s="26" t="s">
        <v>47</v>
      </c>
      <c r="F73" s="30">
        <f>1220000-10000</f>
        <v>1210000</v>
      </c>
      <c r="G73" s="30">
        <v>1220000</v>
      </c>
      <c r="H73" s="30">
        <v>1220000</v>
      </c>
    </row>
    <row r="74" spans="1:11" ht="81.75" customHeight="1" x14ac:dyDescent="0.25">
      <c r="A74" s="36" t="s">
        <v>306</v>
      </c>
      <c r="B74" s="26" t="s">
        <v>4</v>
      </c>
      <c r="C74" s="26" t="s">
        <v>302</v>
      </c>
      <c r="D74" s="26" t="s">
        <v>308</v>
      </c>
      <c r="E74" s="26" t="s">
        <v>47</v>
      </c>
      <c r="F74" s="30">
        <f>170000+10000</f>
        <v>180000</v>
      </c>
      <c r="G74" s="30">
        <v>170000</v>
      </c>
      <c r="H74" s="30">
        <v>170000</v>
      </c>
    </row>
    <row r="75" spans="1:11" ht="47.25" x14ac:dyDescent="0.3">
      <c r="A75" s="36" t="s">
        <v>272</v>
      </c>
      <c r="B75" s="26" t="s">
        <v>4</v>
      </c>
      <c r="C75" s="26" t="s">
        <v>57</v>
      </c>
      <c r="D75" s="26" t="s">
        <v>212</v>
      </c>
      <c r="E75" s="26" t="s">
        <v>31</v>
      </c>
      <c r="F75" s="23">
        <f>795744</f>
        <v>795744</v>
      </c>
      <c r="G75" s="23">
        <v>844733</v>
      </c>
      <c r="H75" s="23">
        <v>890133</v>
      </c>
      <c r="I75" s="2"/>
      <c r="J75" s="2"/>
      <c r="K75" s="2"/>
    </row>
    <row r="76" spans="1:11" ht="47.25" x14ac:dyDescent="0.3">
      <c r="A76" s="36" t="s">
        <v>160</v>
      </c>
      <c r="B76" s="26" t="s">
        <v>4</v>
      </c>
      <c r="C76" s="26" t="s">
        <v>57</v>
      </c>
      <c r="D76" s="26" t="s">
        <v>38</v>
      </c>
      <c r="E76" s="26" t="s">
        <v>31</v>
      </c>
      <c r="F76" s="23">
        <f>6423698.7+30691.02+51630+46232.67-50106.17+76724+215861.18</f>
        <v>6794731.3999999994</v>
      </c>
      <c r="G76" s="23">
        <v>6423698.7000000002</v>
      </c>
      <c r="H76" s="23">
        <v>6423698.7000000002</v>
      </c>
      <c r="I76" s="2"/>
      <c r="J76" s="2"/>
      <c r="K76" s="2"/>
    </row>
    <row r="77" spans="1:11" ht="52.5" customHeight="1" x14ac:dyDescent="0.25">
      <c r="A77" s="21" t="s">
        <v>299</v>
      </c>
      <c r="B77" s="29" t="s">
        <v>4</v>
      </c>
      <c r="C77" s="29" t="s">
        <v>57</v>
      </c>
      <c r="D77" s="29" t="s">
        <v>298</v>
      </c>
      <c r="E77" s="29" t="s">
        <v>31</v>
      </c>
      <c r="F77" s="30">
        <f>350000+18422</f>
        <v>368422</v>
      </c>
      <c r="G77" s="30">
        <v>0</v>
      </c>
      <c r="H77" s="30">
        <v>0</v>
      </c>
    </row>
    <row r="78" spans="1:11" ht="47.25" x14ac:dyDescent="0.3">
      <c r="A78" s="36" t="s">
        <v>211</v>
      </c>
      <c r="B78" s="26" t="s">
        <v>4</v>
      </c>
      <c r="C78" s="26" t="s">
        <v>273</v>
      </c>
      <c r="D78" s="26" t="s">
        <v>58</v>
      </c>
      <c r="E78" s="26" t="s">
        <v>31</v>
      </c>
      <c r="F78" s="23">
        <v>813467.46</v>
      </c>
      <c r="G78" s="23">
        <v>813467.46</v>
      </c>
      <c r="H78" s="23">
        <v>813467.46</v>
      </c>
      <c r="I78" s="2"/>
      <c r="J78" s="2"/>
      <c r="K78" s="2"/>
    </row>
    <row r="79" spans="1:11" ht="31.5" x14ac:dyDescent="0.25">
      <c r="A79" s="18" t="s">
        <v>59</v>
      </c>
      <c r="B79" s="19" t="s">
        <v>60</v>
      </c>
      <c r="C79" s="19"/>
      <c r="D79" s="19"/>
      <c r="E79" s="19"/>
      <c r="F79" s="20">
        <f>SUM(F80:F86)</f>
        <v>15980939.939999999</v>
      </c>
      <c r="G79" s="20">
        <f t="shared" ref="G79:H79" si="7">SUM(G80:G86)</f>
        <v>14224257.68</v>
      </c>
      <c r="H79" s="20">
        <f t="shared" si="7"/>
        <v>14341627.68</v>
      </c>
      <c r="I79" s="3"/>
      <c r="J79" s="3"/>
      <c r="K79" s="3"/>
    </row>
    <row r="80" spans="1:11" ht="31.5" x14ac:dyDescent="0.25">
      <c r="A80" s="25" t="s">
        <v>68</v>
      </c>
      <c r="B80" s="26" t="s">
        <v>60</v>
      </c>
      <c r="C80" s="26" t="s">
        <v>62</v>
      </c>
      <c r="D80" s="26" t="s">
        <v>69</v>
      </c>
      <c r="E80" s="26" t="s">
        <v>10</v>
      </c>
      <c r="F80" s="23">
        <v>1017000</v>
      </c>
      <c r="G80" s="23">
        <v>1118700</v>
      </c>
      <c r="H80" s="23">
        <v>1230570</v>
      </c>
    </row>
    <row r="81" spans="1:8" ht="31.5" x14ac:dyDescent="0.25">
      <c r="A81" s="25" t="s">
        <v>70</v>
      </c>
      <c r="B81" s="26" t="s">
        <v>60</v>
      </c>
      <c r="C81" s="38" t="s">
        <v>62</v>
      </c>
      <c r="D81" s="26" t="s">
        <v>71</v>
      </c>
      <c r="E81" s="26" t="s">
        <v>10</v>
      </c>
      <c r="F81" s="23">
        <v>50000</v>
      </c>
      <c r="G81" s="23">
        <v>55000</v>
      </c>
      <c r="H81" s="23">
        <v>60500</v>
      </c>
    </row>
    <row r="82" spans="1:8" ht="63" x14ac:dyDescent="0.25">
      <c r="A82" s="39" t="s">
        <v>61</v>
      </c>
      <c r="B82" s="22" t="s">
        <v>60</v>
      </c>
      <c r="C82" s="40" t="s">
        <v>62</v>
      </c>
      <c r="D82" s="40" t="s">
        <v>63</v>
      </c>
      <c r="E82" s="40" t="s">
        <v>8</v>
      </c>
      <c r="F82" s="41">
        <f>12624043+942600.43+284665.83-9500</f>
        <v>13841809.26</v>
      </c>
      <c r="G82" s="41">
        <v>12624043</v>
      </c>
      <c r="H82" s="41">
        <v>12624043</v>
      </c>
    </row>
    <row r="83" spans="1:8" ht="31.5" x14ac:dyDescent="0.25">
      <c r="A83" s="42" t="s">
        <v>64</v>
      </c>
      <c r="B83" s="22" t="s">
        <v>60</v>
      </c>
      <c r="C83" s="40" t="s">
        <v>62</v>
      </c>
      <c r="D83" s="40" t="s">
        <v>63</v>
      </c>
      <c r="E83" s="40" t="s">
        <v>10</v>
      </c>
      <c r="F83" s="23">
        <f>351514.68+70000-21000</f>
        <v>400514.68</v>
      </c>
      <c r="G83" s="23">
        <v>351514.68</v>
      </c>
      <c r="H83" s="23">
        <v>351514.68</v>
      </c>
    </row>
    <row r="84" spans="1:8" ht="31.5" x14ac:dyDescent="0.25">
      <c r="A84" s="34" t="s">
        <v>65</v>
      </c>
      <c r="B84" s="29" t="s">
        <v>60</v>
      </c>
      <c r="C84" s="38" t="s">
        <v>62</v>
      </c>
      <c r="D84" s="40" t="s">
        <v>63</v>
      </c>
      <c r="E84" s="29" t="s">
        <v>12</v>
      </c>
      <c r="F84" s="30">
        <f>1000-1000</f>
        <v>0</v>
      </c>
      <c r="G84" s="30">
        <v>1000</v>
      </c>
      <c r="H84" s="30">
        <v>1000</v>
      </c>
    </row>
    <row r="85" spans="1:8" ht="94.5" x14ac:dyDescent="0.25">
      <c r="A85" s="34" t="s">
        <v>66</v>
      </c>
      <c r="B85" s="29" t="s">
        <v>60</v>
      </c>
      <c r="C85" s="38" t="s">
        <v>62</v>
      </c>
      <c r="D85" s="40" t="s">
        <v>67</v>
      </c>
      <c r="E85" s="29" t="s">
        <v>8</v>
      </c>
      <c r="F85" s="30">
        <v>649316</v>
      </c>
      <c r="G85" s="30">
        <v>0</v>
      </c>
      <c r="H85" s="30">
        <v>0</v>
      </c>
    </row>
    <row r="86" spans="1:8" ht="47.25" x14ac:dyDescent="0.25">
      <c r="A86" s="25" t="s">
        <v>72</v>
      </c>
      <c r="B86" s="26" t="s">
        <v>60</v>
      </c>
      <c r="C86" s="38" t="s">
        <v>73</v>
      </c>
      <c r="D86" s="26" t="s">
        <v>74</v>
      </c>
      <c r="E86" s="26" t="s">
        <v>10</v>
      </c>
      <c r="F86" s="23">
        <f>74000-51700</f>
        <v>22300</v>
      </c>
      <c r="G86" s="23">
        <v>74000</v>
      </c>
      <c r="H86" s="23">
        <v>74000</v>
      </c>
    </row>
    <row r="87" spans="1:8" ht="15.75" x14ac:dyDescent="0.25">
      <c r="A87" s="18" t="s">
        <v>75</v>
      </c>
      <c r="B87" s="19" t="s">
        <v>76</v>
      </c>
      <c r="C87" s="19"/>
      <c r="D87" s="19"/>
      <c r="E87" s="19"/>
      <c r="F87" s="20">
        <f>SUM(F88:F91)</f>
        <v>1427431.19</v>
      </c>
      <c r="G87" s="20">
        <f>SUM(G88:G91)</f>
        <v>1235158.19</v>
      </c>
      <c r="H87" s="20">
        <f>SUM(H88:H91)</f>
        <v>1235158.19</v>
      </c>
    </row>
    <row r="88" spans="1:8" ht="94.5" x14ac:dyDescent="0.25">
      <c r="A88" s="34" t="s">
        <v>77</v>
      </c>
      <c r="B88" s="29" t="s">
        <v>76</v>
      </c>
      <c r="C88" s="29" t="s">
        <v>78</v>
      </c>
      <c r="D88" s="43" t="s">
        <v>79</v>
      </c>
      <c r="E88" s="29" t="s">
        <v>8</v>
      </c>
      <c r="F88" s="30">
        <v>93738.78</v>
      </c>
      <c r="G88" s="30">
        <v>0</v>
      </c>
      <c r="H88" s="30">
        <v>0</v>
      </c>
    </row>
    <row r="89" spans="1:8" ht="78.75" x14ac:dyDescent="0.25">
      <c r="A89" s="25" t="s">
        <v>80</v>
      </c>
      <c r="B89" s="26" t="s">
        <v>76</v>
      </c>
      <c r="C89" s="26" t="s">
        <v>78</v>
      </c>
      <c r="D89" s="44" t="s">
        <v>81</v>
      </c>
      <c r="E89" s="26" t="s">
        <v>8</v>
      </c>
      <c r="F89" s="23">
        <f>1007158.19-62.5+75679.13+22855.09</f>
        <v>1105629.9099999999</v>
      </c>
      <c r="G89" s="23">
        <v>1007158.19</v>
      </c>
      <c r="H89" s="23">
        <v>1007158.19</v>
      </c>
    </row>
    <row r="90" spans="1:8" ht="31.5" x14ac:dyDescent="0.25">
      <c r="A90" s="25" t="s">
        <v>283</v>
      </c>
      <c r="B90" s="26" t="s">
        <v>76</v>
      </c>
      <c r="C90" s="26" t="s">
        <v>78</v>
      </c>
      <c r="D90" s="44" t="s">
        <v>81</v>
      </c>
      <c r="E90" s="26" t="s">
        <v>12</v>
      </c>
      <c r="F90" s="23">
        <v>62.5</v>
      </c>
      <c r="G90" s="23">
        <v>0</v>
      </c>
      <c r="H90" s="23">
        <v>0</v>
      </c>
    </row>
    <row r="91" spans="1:8" ht="78.75" x14ac:dyDescent="0.25">
      <c r="A91" s="34" t="s">
        <v>82</v>
      </c>
      <c r="B91" s="29" t="s">
        <v>76</v>
      </c>
      <c r="C91" s="29" t="s">
        <v>78</v>
      </c>
      <c r="D91" s="43" t="s">
        <v>83</v>
      </c>
      <c r="E91" s="29" t="s">
        <v>8</v>
      </c>
      <c r="F91" s="30">
        <v>228000</v>
      </c>
      <c r="G91" s="30">
        <v>228000</v>
      </c>
      <c r="H91" s="30">
        <v>228000</v>
      </c>
    </row>
    <row r="92" spans="1:8" ht="15.75" x14ac:dyDescent="0.25">
      <c r="A92" s="18" t="s">
        <v>84</v>
      </c>
      <c r="B92" s="45" t="s">
        <v>85</v>
      </c>
      <c r="C92" s="45"/>
      <c r="D92" s="45"/>
      <c r="E92" s="45"/>
      <c r="F92" s="46">
        <f>SUM(F93:F181)</f>
        <v>119597248.92999998</v>
      </c>
      <c r="G92" s="46">
        <f>SUM(G93:G181)</f>
        <v>76039495.989999995</v>
      </c>
      <c r="H92" s="46">
        <f>SUM(H93:H181)</f>
        <v>77518835.479999989</v>
      </c>
    </row>
    <row r="93" spans="1:8" ht="78.75" x14ac:dyDescent="0.25">
      <c r="A93" s="25" t="s">
        <v>86</v>
      </c>
      <c r="B93" s="26" t="s">
        <v>85</v>
      </c>
      <c r="C93" s="26" t="s">
        <v>87</v>
      </c>
      <c r="D93" s="44" t="s">
        <v>88</v>
      </c>
      <c r="E93" s="26" t="s">
        <v>8</v>
      </c>
      <c r="F93" s="23">
        <f>1974483+97925+29573.35</f>
        <v>2101981.35</v>
      </c>
      <c r="G93" s="23">
        <v>1974483</v>
      </c>
      <c r="H93" s="23">
        <v>1974483</v>
      </c>
    </row>
    <row r="94" spans="1:8" ht="78.75" x14ac:dyDescent="0.25">
      <c r="A94" s="21" t="s">
        <v>311</v>
      </c>
      <c r="B94" s="22" t="s">
        <v>85</v>
      </c>
      <c r="C94" s="22" t="s">
        <v>87</v>
      </c>
      <c r="D94" s="47" t="s">
        <v>312</v>
      </c>
      <c r="E94" s="22" t="s">
        <v>8</v>
      </c>
      <c r="F94" s="24">
        <v>1171800</v>
      </c>
      <c r="G94" s="24">
        <v>0</v>
      </c>
      <c r="H94" s="24">
        <v>0</v>
      </c>
    </row>
    <row r="95" spans="1:8" ht="63" x14ac:dyDescent="0.25">
      <c r="A95" s="21" t="s">
        <v>61</v>
      </c>
      <c r="B95" s="22" t="s">
        <v>85</v>
      </c>
      <c r="C95" s="22" t="s">
        <v>89</v>
      </c>
      <c r="D95" s="22" t="s">
        <v>63</v>
      </c>
      <c r="E95" s="22" t="s">
        <v>8</v>
      </c>
      <c r="F95" s="24">
        <f>36730816.3+2799938.97+839541.56</f>
        <v>40370296.829999998</v>
      </c>
      <c r="G95" s="24">
        <v>36730816.299999997</v>
      </c>
      <c r="H95" s="24">
        <v>36730816.299999997</v>
      </c>
    </row>
    <row r="96" spans="1:8" ht="31.5" x14ac:dyDescent="0.25">
      <c r="A96" s="25" t="s">
        <v>64</v>
      </c>
      <c r="B96" s="26" t="s">
        <v>85</v>
      </c>
      <c r="C96" s="26" t="s">
        <v>89</v>
      </c>
      <c r="D96" s="22" t="s">
        <v>63</v>
      </c>
      <c r="E96" s="26" t="s">
        <v>10</v>
      </c>
      <c r="F96" s="23">
        <f>216000+70000-36200</f>
        <v>249800</v>
      </c>
      <c r="G96" s="23">
        <v>216000</v>
      </c>
      <c r="H96" s="23">
        <v>216000</v>
      </c>
    </row>
    <row r="97" spans="1:8" ht="31.5" x14ac:dyDescent="0.25">
      <c r="A97" s="25" t="s">
        <v>65</v>
      </c>
      <c r="B97" s="26" t="s">
        <v>85</v>
      </c>
      <c r="C97" s="26" t="s">
        <v>89</v>
      </c>
      <c r="D97" s="22" t="s">
        <v>63</v>
      </c>
      <c r="E97" s="26" t="s">
        <v>12</v>
      </c>
      <c r="F97" s="23">
        <f>16000-10000</f>
        <v>6000</v>
      </c>
      <c r="G97" s="23">
        <v>16000</v>
      </c>
      <c r="H97" s="23">
        <v>16000</v>
      </c>
    </row>
    <row r="98" spans="1:8" ht="94.5" x14ac:dyDescent="0.25">
      <c r="A98" s="25" t="s">
        <v>66</v>
      </c>
      <c r="B98" s="26" t="s">
        <v>85</v>
      </c>
      <c r="C98" s="26" t="s">
        <v>89</v>
      </c>
      <c r="D98" s="22" t="s">
        <v>67</v>
      </c>
      <c r="E98" s="26" t="s">
        <v>8</v>
      </c>
      <c r="F98" s="23">
        <v>75524.98</v>
      </c>
      <c r="G98" s="23">
        <v>0</v>
      </c>
      <c r="H98" s="23">
        <v>0</v>
      </c>
    </row>
    <row r="99" spans="1:8" ht="78.75" x14ac:dyDescent="0.25">
      <c r="A99" s="25" t="s">
        <v>181</v>
      </c>
      <c r="B99" s="26" t="s">
        <v>85</v>
      </c>
      <c r="C99" s="26" t="s">
        <v>89</v>
      </c>
      <c r="D99" s="44" t="s">
        <v>90</v>
      </c>
      <c r="E99" s="26" t="s">
        <v>8</v>
      </c>
      <c r="F99" s="23">
        <f>591309.17+116707.8</f>
        <v>708016.97000000009</v>
      </c>
      <c r="G99" s="23">
        <f>611569.61+161013.18</f>
        <v>772582.79</v>
      </c>
      <c r="H99" s="23">
        <f>611569.61+161013.18</f>
        <v>772582.79</v>
      </c>
    </row>
    <row r="100" spans="1:8" ht="63" x14ac:dyDescent="0.25">
      <c r="A100" s="25" t="s">
        <v>187</v>
      </c>
      <c r="B100" s="26" t="s">
        <v>85</v>
      </c>
      <c r="C100" s="26" t="s">
        <v>91</v>
      </c>
      <c r="D100" s="44" t="s">
        <v>92</v>
      </c>
      <c r="E100" s="26" t="s">
        <v>10</v>
      </c>
      <c r="F100" s="23">
        <f>3284.18+1668.24</f>
        <v>4952.42</v>
      </c>
      <c r="G100" s="23">
        <v>4319.46</v>
      </c>
      <c r="H100" s="23">
        <v>58638.65</v>
      </c>
    </row>
    <row r="101" spans="1:8" ht="31.5" x14ac:dyDescent="0.25">
      <c r="A101" s="25" t="s">
        <v>93</v>
      </c>
      <c r="B101" s="26" t="s">
        <v>85</v>
      </c>
      <c r="C101" s="26" t="s">
        <v>94</v>
      </c>
      <c r="D101" s="48" t="s">
        <v>95</v>
      </c>
      <c r="E101" s="26" t="s">
        <v>12</v>
      </c>
      <c r="F101" s="23">
        <v>500000</v>
      </c>
      <c r="G101" s="23">
        <v>500000</v>
      </c>
      <c r="H101" s="23">
        <v>500000</v>
      </c>
    </row>
    <row r="102" spans="1:8" ht="47.25" x14ac:dyDescent="0.25">
      <c r="A102" s="25" t="s">
        <v>96</v>
      </c>
      <c r="B102" s="26" t="s">
        <v>85</v>
      </c>
      <c r="C102" s="26" t="s">
        <v>97</v>
      </c>
      <c r="D102" s="26" t="s">
        <v>98</v>
      </c>
      <c r="E102" s="26" t="s">
        <v>10</v>
      </c>
      <c r="F102" s="23">
        <f>30000-20000-10000</f>
        <v>0</v>
      </c>
      <c r="G102" s="23">
        <v>50000</v>
      </c>
      <c r="H102" s="23">
        <v>50000</v>
      </c>
    </row>
    <row r="103" spans="1:8" ht="31.5" x14ac:dyDescent="0.25">
      <c r="A103" s="25" t="s">
        <v>99</v>
      </c>
      <c r="B103" s="26" t="s">
        <v>85</v>
      </c>
      <c r="C103" s="26" t="s">
        <v>97</v>
      </c>
      <c r="D103" s="26" t="s">
        <v>100</v>
      </c>
      <c r="E103" s="26" t="s">
        <v>10</v>
      </c>
      <c r="F103" s="23">
        <f>306000+121000+20000+10000+10500</f>
        <v>467500</v>
      </c>
      <c r="G103" s="23">
        <v>306000</v>
      </c>
      <c r="H103" s="23">
        <v>306000</v>
      </c>
    </row>
    <row r="104" spans="1:8" ht="63" x14ac:dyDescent="0.25">
      <c r="A104" s="25" t="s">
        <v>101</v>
      </c>
      <c r="B104" s="26" t="s">
        <v>85</v>
      </c>
      <c r="C104" s="26" t="s">
        <v>97</v>
      </c>
      <c r="D104" s="26" t="s">
        <v>102</v>
      </c>
      <c r="E104" s="26" t="s">
        <v>10</v>
      </c>
      <c r="F104" s="23">
        <f>70000-47418.69-10500</f>
        <v>12081.309999999998</v>
      </c>
      <c r="G104" s="23">
        <v>100000</v>
      </c>
      <c r="H104" s="23">
        <v>100000</v>
      </c>
    </row>
    <row r="105" spans="1:8" ht="37.5" customHeight="1" x14ac:dyDescent="0.25">
      <c r="A105" s="27" t="s">
        <v>263</v>
      </c>
      <c r="B105" s="26" t="s">
        <v>85</v>
      </c>
      <c r="C105" s="26" t="s">
        <v>97</v>
      </c>
      <c r="D105" s="26" t="s">
        <v>261</v>
      </c>
      <c r="E105" s="26" t="s">
        <v>10</v>
      </c>
      <c r="F105" s="49">
        <f>200000-23807.87-30103.53</f>
        <v>146088.6</v>
      </c>
      <c r="G105" s="49">
        <v>150000</v>
      </c>
      <c r="H105" s="49">
        <v>150000</v>
      </c>
    </row>
    <row r="106" spans="1:8" ht="51" customHeight="1" x14ac:dyDescent="0.25">
      <c r="A106" s="27" t="s">
        <v>264</v>
      </c>
      <c r="B106" s="26" t="s">
        <v>85</v>
      </c>
      <c r="C106" s="26" t="s">
        <v>97</v>
      </c>
      <c r="D106" s="26" t="s">
        <v>260</v>
      </c>
      <c r="E106" s="26" t="s">
        <v>10</v>
      </c>
      <c r="F106" s="49">
        <f>230000+47418.69+23807.87</f>
        <v>301226.56</v>
      </c>
      <c r="G106" s="49">
        <v>230000</v>
      </c>
      <c r="H106" s="49">
        <v>230000</v>
      </c>
    </row>
    <row r="107" spans="1:8" ht="37.5" customHeight="1" x14ac:dyDescent="0.25">
      <c r="A107" s="27" t="s">
        <v>297</v>
      </c>
      <c r="B107" s="26" t="s">
        <v>85</v>
      </c>
      <c r="C107" s="26" t="s">
        <v>97</v>
      </c>
      <c r="D107" s="26" t="s">
        <v>296</v>
      </c>
      <c r="E107" s="26" t="s">
        <v>12</v>
      </c>
      <c r="F107" s="49">
        <v>107500</v>
      </c>
      <c r="G107" s="49">
        <v>0</v>
      </c>
      <c r="H107" s="49">
        <v>0</v>
      </c>
    </row>
    <row r="108" spans="1:8" ht="47.25" x14ac:dyDescent="0.25">
      <c r="A108" s="27" t="s">
        <v>103</v>
      </c>
      <c r="B108" s="26" t="s">
        <v>85</v>
      </c>
      <c r="C108" s="26" t="s">
        <v>97</v>
      </c>
      <c r="D108" s="26" t="s">
        <v>104</v>
      </c>
      <c r="E108" s="26" t="s">
        <v>10</v>
      </c>
      <c r="F108" s="49">
        <f>200000-41000</f>
        <v>159000</v>
      </c>
      <c r="G108" s="49">
        <v>200000</v>
      </c>
      <c r="H108" s="49">
        <v>200000</v>
      </c>
    </row>
    <row r="109" spans="1:8" ht="47.25" x14ac:dyDescent="0.25">
      <c r="A109" s="25" t="s">
        <v>105</v>
      </c>
      <c r="B109" s="26" t="s">
        <v>85</v>
      </c>
      <c r="C109" s="26" t="s">
        <v>97</v>
      </c>
      <c r="D109" s="26" t="s">
        <v>106</v>
      </c>
      <c r="E109" s="26" t="s">
        <v>10</v>
      </c>
      <c r="F109" s="23">
        <v>71280.899999999994</v>
      </c>
      <c r="G109" s="23">
        <v>78410</v>
      </c>
      <c r="H109" s="23">
        <v>86251</v>
      </c>
    </row>
    <row r="110" spans="1:8" ht="31.5" x14ac:dyDescent="0.25">
      <c r="A110" s="21" t="s">
        <v>70</v>
      </c>
      <c r="B110" s="50" t="s">
        <v>85</v>
      </c>
      <c r="C110" s="50" t="s">
        <v>97</v>
      </c>
      <c r="D110" s="51" t="s">
        <v>71</v>
      </c>
      <c r="E110" s="50" t="s">
        <v>10</v>
      </c>
      <c r="F110" s="49">
        <v>155000</v>
      </c>
      <c r="G110" s="49">
        <v>170500</v>
      </c>
      <c r="H110" s="49">
        <v>187550</v>
      </c>
    </row>
    <row r="111" spans="1:8" ht="63" x14ac:dyDescent="0.25">
      <c r="A111" s="21" t="s">
        <v>109</v>
      </c>
      <c r="B111" s="50" t="s">
        <v>85</v>
      </c>
      <c r="C111" s="50" t="s">
        <v>97</v>
      </c>
      <c r="D111" s="51" t="s">
        <v>110</v>
      </c>
      <c r="E111" s="50" t="s">
        <v>47</v>
      </c>
      <c r="F111" s="49">
        <f>800-800</f>
        <v>0</v>
      </c>
      <c r="G111" s="49">
        <v>800</v>
      </c>
      <c r="H111" s="49">
        <v>800</v>
      </c>
    </row>
    <row r="112" spans="1:8" ht="78.75" x14ac:dyDescent="0.25">
      <c r="A112" s="21" t="s">
        <v>107</v>
      </c>
      <c r="B112" s="50" t="s">
        <v>85</v>
      </c>
      <c r="C112" s="50" t="s">
        <v>97</v>
      </c>
      <c r="D112" s="51" t="s">
        <v>108</v>
      </c>
      <c r="E112" s="50" t="s">
        <v>10</v>
      </c>
      <c r="F112" s="49">
        <f>5000-482</f>
        <v>4518</v>
      </c>
      <c r="G112" s="49">
        <v>5000</v>
      </c>
      <c r="H112" s="49">
        <v>5000</v>
      </c>
    </row>
    <row r="113" spans="1:11" ht="31.5" x14ac:dyDescent="0.25">
      <c r="A113" s="21" t="s">
        <v>111</v>
      </c>
      <c r="B113" s="50" t="s">
        <v>85</v>
      </c>
      <c r="C113" s="50" t="s">
        <v>97</v>
      </c>
      <c r="D113" s="51" t="s">
        <v>112</v>
      </c>
      <c r="E113" s="50" t="s">
        <v>10</v>
      </c>
      <c r="F113" s="49">
        <v>15000</v>
      </c>
      <c r="G113" s="49">
        <v>15000</v>
      </c>
      <c r="H113" s="49">
        <v>15000</v>
      </c>
    </row>
    <row r="114" spans="1:11" ht="47.25" x14ac:dyDescent="0.25">
      <c r="A114" s="21" t="s">
        <v>191</v>
      </c>
      <c r="B114" s="50" t="s">
        <v>85</v>
      </c>
      <c r="C114" s="50" t="s">
        <v>97</v>
      </c>
      <c r="D114" s="51" t="s">
        <v>113</v>
      </c>
      <c r="E114" s="50" t="s">
        <v>10</v>
      </c>
      <c r="F114" s="49">
        <f>20000-20000</f>
        <v>0</v>
      </c>
      <c r="G114" s="49">
        <v>20000</v>
      </c>
      <c r="H114" s="49">
        <v>20000</v>
      </c>
    </row>
    <row r="115" spans="1:11" ht="31.5" x14ac:dyDescent="0.25">
      <c r="A115" s="21" t="s">
        <v>49</v>
      </c>
      <c r="B115" s="50" t="s">
        <v>85</v>
      </c>
      <c r="C115" s="50" t="s">
        <v>97</v>
      </c>
      <c r="D115" s="51" t="s">
        <v>114</v>
      </c>
      <c r="E115" s="50" t="s">
        <v>47</v>
      </c>
      <c r="F115" s="49">
        <f>40000-40000</f>
        <v>0</v>
      </c>
      <c r="G115" s="49">
        <v>80000</v>
      </c>
      <c r="H115" s="49">
        <v>80000</v>
      </c>
    </row>
    <row r="116" spans="1:11" ht="47.25" x14ac:dyDescent="0.25">
      <c r="A116" s="52" t="s">
        <v>115</v>
      </c>
      <c r="B116" s="26" t="s">
        <v>85</v>
      </c>
      <c r="C116" s="26" t="s">
        <v>97</v>
      </c>
      <c r="D116" s="26" t="s">
        <v>116</v>
      </c>
      <c r="E116" s="26" t="s">
        <v>10</v>
      </c>
      <c r="F116" s="23">
        <f>3000-3000</f>
        <v>0</v>
      </c>
      <c r="G116" s="23">
        <v>3000</v>
      </c>
      <c r="H116" s="23">
        <v>3000</v>
      </c>
    </row>
    <row r="117" spans="1:11" ht="47.25" x14ac:dyDescent="0.25">
      <c r="A117" s="52" t="s">
        <v>220</v>
      </c>
      <c r="B117" s="26" t="s">
        <v>85</v>
      </c>
      <c r="C117" s="26" t="s">
        <v>97</v>
      </c>
      <c r="D117" s="26" t="s">
        <v>195</v>
      </c>
      <c r="E117" s="26" t="s">
        <v>10</v>
      </c>
      <c r="F117" s="23">
        <f>100000-15000-85000</f>
        <v>0</v>
      </c>
      <c r="G117" s="23">
        <f>100000+181667</f>
        <v>281667</v>
      </c>
      <c r="H117" s="23">
        <v>100000</v>
      </c>
    </row>
    <row r="118" spans="1:11" ht="50.25" customHeight="1" x14ac:dyDescent="0.25">
      <c r="A118" s="52" t="s">
        <v>221</v>
      </c>
      <c r="B118" s="26" t="s">
        <v>85</v>
      </c>
      <c r="C118" s="26" t="s">
        <v>97</v>
      </c>
      <c r="D118" s="26" t="s">
        <v>218</v>
      </c>
      <c r="E118" s="26" t="s">
        <v>10</v>
      </c>
      <c r="F118" s="23">
        <f>40000-29798.4-10201.6</f>
        <v>0</v>
      </c>
      <c r="G118" s="23">
        <v>60000</v>
      </c>
      <c r="H118" s="23">
        <v>60000</v>
      </c>
    </row>
    <row r="119" spans="1:11" ht="47.25" x14ac:dyDescent="0.25">
      <c r="A119" s="52" t="s">
        <v>222</v>
      </c>
      <c r="B119" s="26" t="s">
        <v>85</v>
      </c>
      <c r="C119" s="26" t="s">
        <v>97</v>
      </c>
      <c r="D119" s="26" t="s">
        <v>219</v>
      </c>
      <c r="E119" s="26" t="s">
        <v>10</v>
      </c>
      <c r="F119" s="23">
        <f>100000-100000+15000</f>
        <v>15000</v>
      </c>
      <c r="G119" s="23">
        <v>100000</v>
      </c>
      <c r="H119" s="23">
        <v>100000</v>
      </c>
    </row>
    <row r="120" spans="1:11" ht="31.5" x14ac:dyDescent="0.25">
      <c r="A120" s="52" t="s">
        <v>295</v>
      </c>
      <c r="B120" s="26" t="s">
        <v>85</v>
      </c>
      <c r="C120" s="26" t="s">
        <v>97</v>
      </c>
      <c r="D120" s="26" t="s">
        <v>294</v>
      </c>
      <c r="E120" s="26" t="s">
        <v>10</v>
      </c>
      <c r="F120" s="23">
        <f>273600-102600</f>
        <v>171000</v>
      </c>
      <c r="G120" s="23">
        <v>0</v>
      </c>
      <c r="H120" s="23">
        <v>0</v>
      </c>
    </row>
    <row r="121" spans="1:11" ht="31.5" x14ac:dyDescent="0.25">
      <c r="A121" s="52" t="s">
        <v>178</v>
      </c>
      <c r="B121" s="26" t="s">
        <v>85</v>
      </c>
      <c r="C121" s="26" t="s">
        <v>97</v>
      </c>
      <c r="D121" s="26" t="s">
        <v>143</v>
      </c>
      <c r="E121" s="26" t="s">
        <v>10</v>
      </c>
      <c r="F121" s="23">
        <f>500000+1+23318393.53-380000-956730-1182128.8-4968178.75-16331355.98+5000</f>
        <v>5001</v>
      </c>
      <c r="G121" s="23">
        <f>5184480-5184480+1</f>
        <v>1</v>
      </c>
      <c r="H121" s="23">
        <f>10491063-10491063</f>
        <v>0</v>
      </c>
      <c r="J121" s="4"/>
      <c r="K121" s="4"/>
    </row>
    <row r="122" spans="1:11" ht="31.5" x14ac:dyDescent="0.25">
      <c r="A122" s="52" t="s">
        <v>323</v>
      </c>
      <c r="B122" s="26" t="s">
        <v>85</v>
      </c>
      <c r="C122" s="26" t="s">
        <v>97</v>
      </c>
      <c r="D122" s="26" t="s">
        <v>143</v>
      </c>
      <c r="E122" s="26" t="s">
        <v>47</v>
      </c>
      <c r="F122" s="23">
        <v>75000</v>
      </c>
      <c r="G122" s="23">
        <v>0</v>
      </c>
      <c r="H122" s="23">
        <v>0</v>
      </c>
      <c r="J122" s="4"/>
      <c r="K122" s="4"/>
    </row>
    <row r="123" spans="1:11" ht="31.5" x14ac:dyDescent="0.25">
      <c r="A123" s="52" t="s">
        <v>235</v>
      </c>
      <c r="B123" s="26" t="s">
        <v>85</v>
      </c>
      <c r="C123" s="26" t="s">
        <v>97</v>
      </c>
      <c r="D123" s="26" t="s">
        <v>236</v>
      </c>
      <c r="E123" s="26" t="s">
        <v>12</v>
      </c>
      <c r="F123" s="23">
        <f>3696521.05-440162.63+185-1+5578894.58-4589744.39-479771.74-5000-120000-300000</f>
        <v>3340920.87</v>
      </c>
      <c r="G123" s="23">
        <f>5927708.48-5927708.48</f>
        <v>0</v>
      </c>
      <c r="H123" s="23">
        <f>12543931.5-12543931.5</f>
        <v>0</v>
      </c>
      <c r="J123" s="4"/>
      <c r="K123" s="4"/>
    </row>
    <row r="124" spans="1:11" ht="31.5" x14ac:dyDescent="0.25">
      <c r="A124" s="25" t="s">
        <v>177</v>
      </c>
      <c r="B124" s="26" t="s">
        <v>85</v>
      </c>
      <c r="C124" s="26" t="s">
        <v>97</v>
      </c>
      <c r="D124" s="26" t="s">
        <v>117</v>
      </c>
      <c r="E124" s="26" t="s">
        <v>47</v>
      </c>
      <c r="F124" s="23">
        <v>27500</v>
      </c>
      <c r="G124" s="23">
        <v>27500</v>
      </c>
      <c r="H124" s="23">
        <v>27500</v>
      </c>
    </row>
    <row r="125" spans="1:11" ht="47.25" x14ac:dyDescent="0.25">
      <c r="A125" s="25" t="s">
        <v>204</v>
      </c>
      <c r="B125" s="26" t="s">
        <v>85</v>
      </c>
      <c r="C125" s="26" t="s">
        <v>97</v>
      </c>
      <c r="D125" s="26" t="s">
        <v>118</v>
      </c>
      <c r="E125" s="26" t="s">
        <v>10</v>
      </c>
      <c r="F125" s="23">
        <v>10891.5</v>
      </c>
      <c r="G125" s="23">
        <v>10891.5</v>
      </c>
      <c r="H125" s="23">
        <v>10891.5</v>
      </c>
    </row>
    <row r="126" spans="1:11" ht="51.75" customHeight="1" x14ac:dyDescent="0.25">
      <c r="A126" s="25" t="s">
        <v>286</v>
      </c>
      <c r="B126" s="26" t="s">
        <v>85</v>
      </c>
      <c r="C126" s="26" t="s">
        <v>97</v>
      </c>
      <c r="D126" s="26" t="s">
        <v>288</v>
      </c>
      <c r="E126" s="26" t="s">
        <v>10</v>
      </c>
      <c r="F126" s="23">
        <v>40000</v>
      </c>
      <c r="G126" s="23">
        <v>0</v>
      </c>
      <c r="H126" s="23">
        <v>0</v>
      </c>
    </row>
    <row r="127" spans="1:11" ht="31.5" x14ac:dyDescent="0.25">
      <c r="A127" s="25" t="s">
        <v>207</v>
      </c>
      <c r="B127" s="26" t="s">
        <v>85</v>
      </c>
      <c r="C127" s="26" t="s">
        <v>97</v>
      </c>
      <c r="D127" s="26" t="s">
        <v>119</v>
      </c>
      <c r="E127" s="26" t="s">
        <v>12</v>
      </c>
      <c r="F127" s="23">
        <f>58345+10937</f>
        <v>69282</v>
      </c>
      <c r="G127" s="23">
        <v>69282</v>
      </c>
      <c r="H127" s="23">
        <v>69282</v>
      </c>
    </row>
    <row r="128" spans="1:11" ht="47.25" x14ac:dyDescent="0.25">
      <c r="A128" s="25" t="s">
        <v>120</v>
      </c>
      <c r="B128" s="26" t="s">
        <v>85</v>
      </c>
      <c r="C128" s="26" t="s">
        <v>121</v>
      </c>
      <c r="D128" s="26" t="s">
        <v>122</v>
      </c>
      <c r="E128" s="26" t="s">
        <v>10</v>
      </c>
      <c r="F128" s="23">
        <f>100000-51000</f>
        <v>49000</v>
      </c>
      <c r="G128" s="23">
        <v>100000</v>
      </c>
      <c r="H128" s="23">
        <v>100000</v>
      </c>
    </row>
    <row r="129" spans="1:9" ht="66.75" customHeight="1" x14ac:dyDescent="0.25">
      <c r="A129" s="25" t="s">
        <v>310</v>
      </c>
      <c r="B129" s="26" t="s">
        <v>85</v>
      </c>
      <c r="C129" s="26" t="s">
        <v>121</v>
      </c>
      <c r="D129" s="26" t="s">
        <v>194</v>
      </c>
      <c r="E129" s="26" t="s">
        <v>10</v>
      </c>
      <c r="F129" s="23">
        <v>12000</v>
      </c>
      <c r="G129" s="23">
        <v>13000</v>
      </c>
      <c r="H129" s="23">
        <v>13000</v>
      </c>
    </row>
    <row r="130" spans="1:9" ht="47.25" x14ac:dyDescent="0.25">
      <c r="A130" s="36" t="s">
        <v>208</v>
      </c>
      <c r="B130" s="26" t="s">
        <v>85</v>
      </c>
      <c r="C130" s="26" t="s">
        <v>123</v>
      </c>
      <c r="D130" s="26" t="s">
        <v>209</v>
      </c>
      <c r="E130" s="26" t="s">
        <v>10</v>
      </c>
      <c r="F130" s="23">
        <f>1250</f>
        <v>1250</v>
      </c>
      <c r="G130" s="23">
        <v>0</v>
      </c>
      <c r="H130" s="23">
        <v>0</v>
      </c>
    </row>
    <row r="131" spans="1:9" ht="63" x14ac:dyDescent="0.25">
      <c r="A131" s="36" t="s">
        <v>124</v>
      </c>
      <c r="B131" s="26" t="s">
        <v>85</v>
      </c>
      <c r="C131" s="26" t="s">
        <v>123</v>
      </c>
      <c r="D131" s="26" t="s">
        <v>125</v>
      </c>
      <c r="E131" s="26" t="s">
        <v>10</v>
      </c>
      <c r="F131" s="23">
        <v>94500</v>
      </c>
      <c r="G131" s="23">
        <v>175404.9</v>
      </c>
      <c r="H131" s="23">
        <v>175404.9</v>
      </c>
      <c r="I131" s="5"/>
    </row>
    <row r="132" spans="1:9" ht="50.25" customHeight="1" x14ac:dyDescent="0.25">
      <c r="A132" s="31" t="s">
        <v>126</v>
      </c>
      <c r="B132" s="51" t="s">
        <v>85</v>
      </c>
      <c r="C132" s="51" t="s">
        <v>123</v>
      </c>
      <c r="D132" s="51" t="s">
        <v>127</v>
      </c>
      <c r="E132" s="51" t="s">
        <v>10</v>
      </c>
      <c r="F132" s="53">
        <f>30000-30000+30000-21600+21600</f>
        <v>30000</v>
      </c>
      <c r="G132" s="53">
        <v>30000</v>
      </c>
      <c r="H132" s="53">
        <v>30000</v>
      </c>
    </row>
    <row r="133" spans="1:9" ht="40.5" customHeight="1" x14ac:dyDescent="0.25">
      <c r="A133" s="31" t="s">
        <v>292</v>
      </c>
      <c r="B133" s="51" t="s">
        <v>85</v>
      </c>
      <c r="C133" s="51" t="s">
        <v>123</v>
      </c>
      <c r="D133" s="51" t="s">
        <v>293</v>
      </c>
      <c r="E133" s="51" t="s">
        <v>10</v>
      </c>
      <c r="F133" s="53">
        <v>59500</v>
      </c>
      <c r="G133" s="53">
        <v>0</v>
      </c>
      <c r="H133" s="53">
        <v>0</v>
      </c>
    </row>
    <row r="134" spans="1:9" ht="31.5" x14ac:dyDescent="0.25">
      <c r="A134" s="31" t="s">
        <v>134</v>
      </c>
      <c r="B134" s="51" t="s">
        <v>85</v>
      </c>
      <c r="C134" s="51" t="s">
        <v>123</v>
      </c>
      <c r="D134" s="51" t="s">
        <v>251</v>
      </c>
      <c r="E134" s="51" t="s">
        <v>10</v>
      </c>
      <c r="F134" s="53">
        <f>9770.53-9770.53</f>
        <v>0</v>
      </c>
      <c r="G134" s="53">
        <v>0</v>
      </c>
      <c r="H134" s="53">
        <v>0</v>
      </c>
    </row>
    <row r="135" spans="1:9" ht="51" customHeight="1" x14ac:dyDescent="0.25">
      <c r="A135" s="31" t="s">
        <v>249</v>
      </c>
      <c r="B135" s="51" t="s">
        <v>85</v>
      </c>
      <c r="C135" s="51" t="s">
        <v>123</v>
      </c>
      <c r="D135" s="51" t="s">
        <v>250</v>
      </c>
      <c r="E135" s="51" t="s">
        <v>10</v>
      </c>
      <c r="F135" s="53">
        <f>21600-21600</f>
        <v>0</v>
      </c>
      <c r="G135" s="53">
        <v>0</v>
      </c>
      <c r="H135" s="53">
        <v>0</v>
      </c>
    </row>
    <row r="136" spans="1:9" ht="50.25" customHeight="1" x14ac:dyDescent="0.25">
      <c r="A136" s="36" t="s">
        <v>234</v>
      </c>
      <c r="B136" s="26" t="s">
        <v>85</v>
      </c>
      <c r="C136" s="26" t="s">
        <v>123</v>
      </c>
      <c r="D136" s="26" t="s">
        <v>225</v>
      </c>
      <c r="E136" s="26" t="s">
        <v>10</v>
      </c>
      <c r="F136" s="23">
        <f>53266.99-53266.99</f>
        <v>0</v>
      </c>
      <c r="G136" s="23">
        <v>58449.71</v>
      </c>
      <c r="H136" s="23">
        <v>77174.87</v>
      </c>
    </row>
    <row r="137" spans="1:9" ht="35.25" customHeight="1" x14ac:dyDescent="0.25">
      <c r="A137" s="36" t="s">
        <v>128</v>
      </c>
      <c r="B137" s="51" t="s">
        <v>85</v>
      </c>
      <c r="C137" s="51" t="s">
        <v>129</v>
      </c>
      <c r="D137" s="26" t="s">
        <v>130</v>
      </c>
      <c r="E137" s="51" t="s">
        <v>12</v>
      </c>
      <c r="F137" s="53">
        <f>200000+133709.6+5300+51000-339009.6-818.4</f>
        <v>50181.599999999999</v>
      </c>
      <c r="G137" s="53">
        <v>200000</v>
      </c>
      <c r="H137" s="53">
        <v>200000</v>
      </c>
    </row>
    <row r="138" spans="1:9" ht="36.75" customHeight="1" x14ac:dyDescent="0.25">
      <c r="A138" s="31" t="s">
        <v>192</v>
      </c>
      <c r="B138" s="22" t="s">
        <v>85</v>
      </c>
      <c r="C138" s="22" t="s">
        <v>226</v>
      </c>
      <c r="D138" s="47" t="s">
        <v>196</v>
      </c>
      <c r="E138" s="51" t="s">
        <v>10</v>
      </c>
      <c r="F138" s="53">
        <f>3800000+1321000-1325.12+246543.44</f>
        <v>5366218.32</v>
      </c>
      <c r="G138" s="53">
        <f>4100000+2800000</f>
        <v>6900000</v>
      </c>
      <c r="H138" s="53">
        <v>4500000</v>
      </c>
    </row>
    <row r="139" spans="1:9" ht="161.25" customHeight="1" x14ac:dyDescent="0.25">
      <c r="A139" s="31" t="s">
        <v>137</v>
      </c>
      <c r="B139" s="51" t="s">
        <v>85</v>
      </c>
      <c r="C139" s="51" t="s">
        <v>132</v>
      </c>
      <c r="D139" s="51" t="s">
        <v>138</v>
      </c>
      <c r="E139" s="51" t="s">
        <v>10</v>
      </c>
      <c r="F139" s="53">
        <f>2715515.72-2715515.72</f>
        <v>0</v>
      </c>
      <c r="G139" s="53">
        <f>2715515.72-1-2715514.72</f>
        <v>0</v>
      </c>
      <c r="H139" s="53">
        <v>2715515.72</v>
      </c>
    </row>
    <row r="140" spans="1:9" ht="147" customHeight="1" x14ac:dyDescent="0.25">
      <c r="A140" s="31" t="s">
        <v>227</v>
      </c>
      <c r="B140" s="51" t="s">
        <v>85</v>
      </c>
      <c r="C140" s="51" t="s">
        <v>132</v>
      </c>
      <c r="D140" s="51" t="s">
        <v>138</v>
      </c>
      <c r="E140" s="51" t="s">
        <v>139</v>
      </c>
      <c r="F140" s="53">
        <f>0+2987067.29+100000+599051+1297572.33+124390.82</f>
        <v>5108081.4400000004</v>
      </c>
      <c r="G140" s="53">
        <v>0</v>
      </c>
      <c r="H140" s="53">
        <v>0</v>
      </c>
    </row>
    <row r="141" spans="1:9" ht="147" customHeight="1" x14ac:dyDescent="0.25">
      <c r="A141" s="31" t="s">
        <v>140</v>
      </c>
      <c r="B141" s="51" t="s">
        <v>85</v>
      </c>
      <c r="C141" s="51" t="s">
        <v>132</v>
      </c>
      <c r="D141" s="51" t="s">
        <v>141</v>
      </c>
      <c r="E141" s="51" t="s">
        <v>10</v>
      </c>
      <c r="F141" s="53">
        <f>1472278.57-1472278.57</f>
        <v>0</v>
      </c>
      <c r="G141" s="53">
        <f>1472278.57-84485.28-181667</f>
        <v>1206126.29</v>
      </c>
      <c r="H141" s="53">
        <v>1472278.57</v>
      </c>
    </row>
    <row r="142" spans="1:9" ht="146.25" customHeight="1" x14ac:dyDescent="0.25">
      <c r="A142" s="31" t="s">
        <v>228</v>
      </c>
      <c r="B142" s="51" t="s">
        <v>85</v>
      </c>
      <c r="C142" s="51" t="s">
        <v>132</v>
      </c>
      <c r="D142" s="51" t="s">
        <v>141</v>
      </c>
      <c r="E142" s="51" t="s">
        <v>139</v>
      </c>
      <c r="F142" s="53">
        <f>0+1619506.43+200000+568996.78+125609.18</f>
        <v>2514112.39</v>
      </c>
      <c r="G142" s="53">
        <v>0</v>
      </c>
      <c r="H142" s="53">
        <v>0</v>
      </c>
    </row>
    <row r="143" spans="1:9" ht="49.5" customHeight="1" x14ac:dyDescent="0.25">
      <c r="A143" s="21" t="s">
        <v>131</v>
      </c>
      <c r="B143" s="51" t="s">
        <v>85</v>
      </c>
      <c r="C143" s="51" t="s">
        <v>132</v>
      </c>
      <c r="D143" s="51" t="s">
        <v>133</v>
      </c>
      <c r="E143" s="51" t="s">
        <v>10</v>
      </c>
      <c r="F143" s="53">
        <f>48000-48000</f>
        <v>0</v>
      </c>
      <c r="G143" s="53">
        <v>0</v>
      </c>
      <c r="H143" s="53">
        <v>0</v>
      </c>
    </row>
    <row r="144" spans="1:9" ht="31.5" x14ac:dyDescent="0.25">
      <c r="A144" s="25" t="s">
        <v>134</v>
      </c>
      <c r="B144" s="51" t="s">
        <v>85</v>
      </c>
      <c r="C144" s="51" t="s">
        <v>132</v>
      </c>
      <c r="D144" s="51" t="s">
        <v>135</v>
      </c>
      <c r="E144" s="51" t="s">
        <v>10</v>
      </c>
      <c r="F144" s="53">
        <f>200276.32+51503.99-0.01-77755.04</f>
        <v>174025.26</v>
      </c>
      <c r="G144" s="53">
        <v>139001.26999999999</v>
      </c>
      <c r="H144" s="53">
        <v>139245.57</v>
      </c>
    </row>
    <row r="145" spans="1:9" ht="31.5" x14ac:dyDescent="0.25">
      <c r="A145" s="25" t="s">
        <v>277</v>
      </c>
      <c r="B145" s="51" t="s">
        <v>85</v>
      </c>
      <c r="C145" s="51" t="s">
        <v>132</v>
      </c>
      <c r="D145" s="51" t="s">
        <v>278</v>
      </c>
      <c r="E145" s="51" t="s">
        <v>10</v>
      </c>
      <c r="F145" s="53">
        <f>371550+2264269+1045433.14-157312.6-744479.32</f>
        <v>2779460.22</v>
      </c>
      <c r="G145" s="53">
        <v>234090</v>
      </c>
      <c r="H145" s="53">
        <v>487390</v>
      </c>
    </row>
    <row r="146" spans="1:9" ht="36.75" customHeight="1" x14ac:dyDescent="0.25">
      <c r="A146" s="25" t="s">
        <v>255</v>
      </c>
      <c r="B146" s="51" t="s">
        <v>85</v>
      </c>
      <c r="C146" s="51" t="s">
        <v>132</v>
      </c>
      <c r="D146" s="51" t="s">
        <v>254</v>
      </c>
      <c r="E146" s="51" t="s">
        <v>10</v>
      </c>
      <c r="F146" s="53">
        <f>2863320-599051-2264269</f>
        <v>0</v>
      </c>
      <c r="G146" s="53">
        <v>0</v>
      </c>
      <c r="H146" s="53">
        <v>0</v>
      </c>
    </row>
    <row r="147" spans="1:9" ht="83.25" customHeight="1" x14ac:dyDescent="0.25">
      <c r="A147" s="36" t="s">
        <v>206</v>
      </c>
      <c r="B147" s="22" t="s">
        <v>85</v>
      </c>
      <c r="C147" s="22" t="s">
        <v>132</v>
      </c>
      <c r="D147" s="47" t="s">
        <v>136</v>
      </c>
      <c r="E147" s="51" t="s">
        <v>10</v>
      </c>
      <c r="F147" s="53">
        <f>6430432.75+361621.25+0.01-4753.2</f>
        <v>6787300.8099999996</v>
      </c>
      <c r="G147" s="53">
        <f>6430432.75+64953.89</f>
        <v>6495386.6399999997</v>
      </c>
      <c r="H147" s="53">
        <f>6441734.2+65068.02</f>
        <v>6506802.2199999997</v>
      </c>
      <c r="I147" s="5"/>
    </row>
    <row r="148" spans="1:9" ht="50.25" customHeight="1" x14ac:dyDescent="0.25">
      <c r="A148" s="31" t="s">
        <v>242</v>
      </c>
      <c r="B148" s="22" t="s">
        <v>85</v>
      </c>
      <c r="C148" s="22" t="s">
        <v>132</v>
      </c>
      <c r="D148" s="47" t="s">
        <v>241</v>
      </c>
      <c r="E148" s="51" t="s">
        <v>10</v>
      </c>
      <c r="F148" s="53">
        <f>18932071.2+2110060.9-27951.84-1017481.3-76169.86</f>
        <v>19920529.099999998</v>
      </c>
      <c r="G148" s="53">
        <v>0</v>
      </c>
      <c r="H148" s="53">
        <v>0</v>
      </c>
    </row>
    <row r="149" spans="1:9" ht="34.5" customHeight="1" x14ac:dyDescent="0.25">
      <c r="A149" s="25" t="s">
        <v>282</v>
      </c>
      <c r="B149" s="26" t="s">
        <v>85</v>
      </c>
      <c r="C149" s="26" t="s">
        <v>132</v>
      </c>
      <c r="D149" s="26" t="s">
        <v>159</v>
      </c>
      <c r="E149" s="26" t="s">
        <v>139</v>
      </c>
      <c r="F149" s="23">
        <f>300000+60746.57</f>
        <v>360746.57</v>
      </c>
      <c r="G149" s="23">
        <f>1500000-1500000</f>
        <v>0</v>
      </c>
      <c r="H149" s="23">
        <f>1500000-1500000</f>
        <v>0</v>
      </c>
    </row>
    <row r="150" spans="1:9" ht="34.5" customHeight="1" x14ac:dyDescent="0.25">
      <c r="A150" s="31" t="s">
        <v>178</v>
      </c>
      <c r="B150" s="51" t="s">
        <v>85</v>
      </c>
      <c r="C150" s="51" t="s">
        <v>142</v>
      </c>
      <c r="D150" s="51" t="s">
        <v>143</v>
      </c>
      <c r="E150" s="51" t="s">
        <v>10</v>
      </c>
      <c r="F150" s="53">
        <f>220000.37-102958.01</f>
        <v>117042.36</v>
      </c>
      <c r="G150" s="53">
        <v>220000.37</v>
      </c>
      <c r="H150" s="53">
        <v>220000.37</v>
      </c>
    </row>
    <row r="151" spans="1:9" ht="129.75" customHeight="1" x14ac:dyDescent="0.25">
      <c r="A151" s="36" t="s">
        <v>144</v>
      </c>
      <c r="B151" s="51" t="s">
        <v>85</v>
      </c>
      <c r="C151" s="51" t="s">
        <v>145</v>
      </c>
      <c r="D151" s="51" t="s">
        <v>146</v>
      </c>
      <c r="E151" s="51" t="s">
        <v>10</v>
      </c>
      <c r="F151" s="53">
        <f>20647.68+129798.4+56612.4</f>
        <v>207058.47999999998</v>
      </c>
      <c r="G151" s="53">
        <f>252000-231352.32</f>
        <v>20647.679999999993</v>
      </c>
      <c r="H151" s="53">
        <f>252000-231352.32</f>
        <v>20647.679999999993</v>
      </c>
    </row>
    <row r="152" spans="1:9" ht="47.25" x14ac:dyDescent="0.25">
      <c r="A152" s="36" t="s">
        <v>188</v>
      </c>
      <c r="B152" s="51" t="s">
        <v>85</v>
      </c>
      <c r="C152" s="51" t="s">
        <v>147</v>
      </c>
      <c r="D152" s="51" t="s">
        <v>148</v>
      </c>
      <c r="E152" s="51" t="s">
        <v>10</v>
      </c>
      <c r="F152" s="53">
        <f>200000-192000</f>
        <v>8000</v>
      </c>
      <c r="G152" s="53">
        <v>200000</v>
      </c>
      <c r="H152" s="53">
        <v>200000</v>
      </c>
    </row>
    <row r="153" spans="1:9" ht="84" customHeight="1" x14ac:dyDescent="0.25">
      <c r="A153" s="35" t="s">
        <v>149</v>
      </c>
      <c r="B153" s="51" t="s">
        <v>85</v>
      </c>
      <c r="C153" s="51" t="s">
        <v>147</v>
      </c>
      <c r="D153" s="51" t="s">
        <v>150</v>
      </c>
      <c r="E153" s="51" t="s">
        <v>10</v>
      </c>
      <c r="F153" s="53">
        <f>222700-222700</f>
        <v>0</v>
      </c>
      <c r="G153" s="53">
        <v>222700</v>
      </c>
      <c r="H153" s="53">
        <v>222700</v>
      </c>
    </row>
    <row r="154" spans="1:9" ht="85.5" customHeight="1" x14ac:dyDescent="0.25">
      <c r="A154" s="35" t="s">
        <v>229</v>
      </c>
      <c r="B154" s="51" t="s">
        <v>85</v>
      </c>
      <c r="C154" s="51" t="s">
        <v>147</v>
      </c>
      <c r="D154" s="51" t="s">
        <v>150</v>
      </c>
      <c r="E154" s="51" t="s">
        <v>139</v>
      </c>
      <c r="F154" s="53">
        <f>0+244970+44000+31000+192400</f>
        <v>512370</v>
      </c>
      <c r="G154" s="53">
        <v>0</v>
      </c>
      <c r="H154" s="53">
        <v>0</v>
      </c>
    </row>
    <row r="155" spans="1:9" ht="85.5" customHeight="1" x14ac:dyDescent="0.25">
      <c r="A155" s="35" t="s">
        <v>197</v>
      </c>
      <c r="B155" s="51" t="s">
        <v>85</v>
      </c>
      <c r="C155" s="51" t="s">
        <v>147</v>
      </c>
      <c r="D155" s="51" t="s">
        <v>151</v>
      </c>
      <c r="E155" s="51" t="s">
        <v>10</v>
      </c>
      <c r="F155" s="53">
        <f>60000-60000</f>
        <v>0</v>
      </c>
      <c r="G155" s="53">
        <v>60000</v>
      </c>
      <c r="H155" s="53">
        <v>60000</v>
      </c>
    </row>
    <row r="156" spans="1:9" ht="66.75" customHeight="1" x14ac:dyDescent="0.25">
      <c r="A156" s="35" t="s">
        <v>230</v>
      </c>
      <c r="B156" s="51" t="s">
        <v>85</v>
      </c>
      <c r="C156" s="51" t="s">
        <v>147</v>
      </c>
      <c r="D156" s="51" t="s">
        <v>151</v>
      </c>
      <c r="E156" s="51" t="s">
        <v>139</v>
      </c>
      <c r="F156" s="53">
        <f>0+66000+26748</f>
        <v>92748</v>
      </c>
      <c r="G156" s="53">
        <v>0</v>
      </c>
      <c r="H156" s="53">
        <v>0</v>
      </c>
    </row>
    <row r="157" spans="1:9" ht="50.25" customHeight="1" x14ac:dyDescent="0.25">
      <c r="A157" s="35" t="s">
        <v>248</v>
      </c>
      <c r="B157" s="51" t="s">
        <v>85</v>
      </c>
      <c r="C157" s="51" t="s">
        <v>147</v>
      </c>
      <c r="D157" s="51" t="s">
        <v>247</v>
      </c>
      <c r="E157" s="51" t="s">
        <v>10</v>
      </c>
      <c r="F157" s="53">
        <f>200000-79091.64-61759.2-59149.16</f>
        <v>0</v>
      </c>
      <c r="G157" s="53">
        <v>200000</v>
      </c>
      <c r="H157" s="53">
        <v>200000</v>
      </c>
    </row>
    <row r="158" spans="1:9" ht="37.5" customHeight="1" x14ac:dyDescent="0.25">
      <c r="A158" s="35" t="s">
        <v>322</v>
      </c>
      <c r="B158" s="51" t="s">
        <v>85</v>
      </c>
      <c r="C158" s="51" t="s">
        <v>147</v>
      </c>
      <c r="D158" s="51" t="s">
        <v>321</v>
      </c>
      <c r="E158" s="51" t="s">
        <v>10</v>
      </c>
      <c r="F158" s="53">
        <v>157312.6</v>
      </c>
      <c r="G158" s="53">
        <v>0</v>
      </c>
      <c r="H158" s="53">
        <v>0</v>
      </c>
    </row>
    <row r="159" spans="1:9" ht="50.25" customHeight="1" x14ac:dyDescent="0.25">
      <c r="A159" s="35" t="s">
        <v>314</v>
      </c>
      <c r="B159" s="51" t="s">
        <v>85</v>
      </c>
      <c r="C159" s="51" t="s">
        <v>147</v>
      </c>
      <c r="D159" s="51" t="s">
        <v>313</v>
      </c>
      <c r="E159" s="51" t="s">
        <v>10</v>
      </c>
      <c r="F159" s="53">
        <f>79091.64+1502741.02</f>
        <v>1581832.66</v>
      </c>
      <c r="G159" s="53">
        <v>0</v>
      </c>
      <c r="H159" s="53">
        <v>0</v>
      </c>
    </row>
    <row r="160" spans="1:9" ht="27.75" customHeight="1" x14ac:dyDescent="0.25">
      <c r="A160" s="25" t="s">
        <v>282</v>
      </c>
      <c r="B160" s="26" t="s">
        <v>85</v>
      </c>
      <c r="C160" s="26" t="s">
        <v>147</v>
      </c>
      <c r="D160" s="26" t="s">
        <v>159</v>
      </c>
      <c r="E160" s="26" t="s">
        <v>139</v>
      </c>
      <c r="F160" s="23">
        <v>300000</v>
      </c>
      <c r="G160" s="23">
        <f>1500000-1500000</f>
        <v>0</v>
      </c>
      <c r="H160" s="23">
        <f>1500000-1500000</f>
        <v>0</v>
      </c>
    </row>
    <row r="161" spans="1:9" ht="63" x14ac:dyDescent="0.25">
      <c r="A161" s="21" t="s">
        <v>152</v>
      </c>
      <c r="B161" s="51" t="s">
        <v>85</v>
      </c>
      <c r="C161" s="51" t="s">
        <v>153</v>
      </c>
      <c r="D161" s="51" t="s">
        <v>154</v>
      </c>
      <c r="E161" s="51" t="s">
        <v>12</v>
      </c>
      <c r="F161" s="53">
        <f>102970+57030</f>
        <v>160000</v>
      </c>
      <c r="G161" s="53">
        <v>102970</v>
      </c>
      <c r="H161" s="53">
        <v>102970</v>
      </c>
    </row>
    <row r="162" spans="1:9" ht="31.5" x14ac:dyDescent="0.25">
      <c r="A162" s="54" t="s">
        <v>183</v>
      </c>
      <c r="B162" s="51" t="s">
        <v>85</v>
      </c>
      <c r="C162" s="51" t="s">
        <v>153</v>
      </c>
      <c r="D162" s="51" t="s">
        <v>182</v>
      </c>
      <c r="E162" s="51" t="s">
        <v>10</v>
      </c>
      <c r="F162" s="53">
        <f>437925.25-101.65</f>
        <v>437823.6</v>
      </c>
      <c r="G162" s="53">
        <v>437925.25</v>
      </c>
      <c r="H162" s="53">
        <v>437925.25</v>
      </c>
    </row>
    <row r="163" spans="1:9" ht="51" customHeight="1" x14ac:dyDescent="0.25">
      <c r="A163" s="54" t="s">
        <v>232</v>
      </c>
      <c r="B163" s="51" t="s">
        <v>85</v>
      </c>
      <c r="C163" s="51" t="s">
        <v>153</v>
      </c>
      <c r="D163" s="51" t="s">
        <v>155</v>
      </c>
      <c r="E163" s="51" t="s">
        <v>10</v>
      </c>
      <c r="F163" s="53">
        <f>170000-170000</f>
        <v>0</v>
      </c>
      <c r="G163" s="53">
        <v>170000</v>
      </c>
      <c r="H163" s="53">
        <v>170000</v>
      </c>
    </row>
    <row r="164" spans="1:9" ht="32.25" customHeight="1" x14ac:dyDescent="0.25">
      <c r="A164" s="54" t="s">
        <v>231</v>
      </c>
      <c r="B164" s="50" t="s">
        <v>85</v>
      </c>
      <c r="C164" s="50" t="s">
        <v>153</v>
      </c>
      <c r="D164" s="50" t="s">
        <v>155</v>
      </c>
      <c r="E164" s="50" t="s">
        <v>139</v>
      </c>
      <c r="F164" s="53">
        <f>0+187000</f>
        <v>187000</v>
      </c>
      <c r="G164" s="49">
        <v>0</v>
      </c>
      <c r="H164" s="49">
        <v>0</v>
      </c>
    </row>
    <row r="165" spans="1:9" ht="32.25" customHeight="1" x14ac:dyDescent="0.25">
      <c r="A165" s="25" t="s">
        <v>318</v>
      </c>
      <c r="B165" s="50" t="s">
        <v>85</v>
      </c>
      <c r="C165" s="50" t="s">
        <v>153</v>
      </c>
      <c r="D165" s="50" t="s">
        <v>317</v>
      </c>
      <c r="E165" s="50" t="s">
        <v>10</v>
      </c>
      <c r="F165" s="49">
        <v>41250</v>
      </c>
      <c r="G165" s="49">
        <v>0</v>
      </c>
      <c r="H165" s="49">
        <v>0</v>
      </c>
    </row>
    <row r="166" spans="1:9" ht="23.25" customHeight="1" x14ac:dyDescent="0.25">
      <c r="A166" s="55" t="s">
        <v>156</v>
      </c>
      <c r="B166" s="56" t="s">
        <v>85</v>
      </c>
      <c r="C166" s="56" t="s">
        <v>153</v>
      </c>
      <c r="D166" s="56" t="s">
        <v>157</v>
      </c>
      <c r="E166" s="56" t="s">
        <v>12</v>
      </c>
      <c r="F166" s="57">
        <f>45375-4125-41250</f>
        <v>0</v>
      </c>
      <c r="G166" s="57">
        <v>41250</v>
      </c>
      <c r="H166" s="57">
        <v>41250</v>
      </c>
    </row>
    <row r="167" spans="1:9" ht="31.5" x14ac:dyDescent="0.25">
      <c r="A167" s="25" t="s">
        <v>189</v>
      </c>
      <c r="B167" s="50" t="s">
        <v>85</v>
      </c>
      <c r="C167" s="50" t="s">
        <v>153</v>
      </c>
      <c r="D167" s="50" t="s">
        <v>190</v>
      </c>
      <c r="E167" s="50" t="s">
        <v>10</v>
      </c>
      <c r="F167" s="49">
        <f>375000-59500-174396.5</f>
        <v>141103.5</v>
      </c>
      <c r="G167" s="49">
        <v>375000</v>
      </c>
      <c r="H167" s="49">
        <v>375000</v>
      </c>
      <c r="I167" s="1"/>
    </row>
    <row r="168" spans="1:9" ht="31.5" x14ac:dyDescent="0.25">
      <c r="A168" s="34" t="s">
        <v>320</v>
      </c>
      <c r="B168" s="58" t="s">
        <v>85</v>
      </c>
      <c r="C168" s="58" t="s">
        <v>153</v>
      </c>
      <c r="D168" s="50" t="s">
        <v>319</v>
      </c>
      <c r="E168" s="58" t="s">
        <v>10</v>
      </c>
      <c r="F168" s="59">
        <v>197146.8</v>
      </c>
      <c r="G168" s="59">
        <v>0</v>
      </c>
      <c r="H168" s="59">
        <v>0</v>
      </c>
      <c r="I168" s="1"/>
    </row>
    <row r="169" spans="1:9" ht="34.5" customHeight="1" x14ac:dyDescent="0.25">
      <c r="A169" s="34" t="s">
        <v>158</v>
      </c>
      <c r="B169" s="29" t="s">
        <v>85</v>
      </c>
      <c r="C169" s="29" t="s">
        <v>153</v>
      </c>
      <c r="D169" s="26" t="s">
        <v>159</v>
      </c>
      <c r="E169" s="29" t="s">
        <v>10</v>
      </c>
      <c r="F169" s="30">
        <f>0+1500000-1500000</f>
        <v>0</v>
      </c>
      <c r="G169" s="30">
        <f>1500000-1500000</f>
        <v>0</v>
      </c>
      <c r="H169" s="30">
        <f>1500000-1500000</f>
        <v>0</v>
      </c>
    </row>
    <row r="170" spans="1:9" ht="26.25" customHeight="1" x14ac:dyDescent="0.25">
      <c r="A170" s="25" t="s">
        <v>282</v>
      </c>
      <c r="B170" s="26" t="s">
        <v>85</v>
      </c>
      <c r="C170" s="26" t="s">
        <v>153</v>
      </c>
      <c r="D170" s="26" t="s">
        <v>159</v>
      </c>
      <c r="E170" s="26" t="s">
        <v>139</v>
      </c>
      <c r="F170" s="23">
        <f>300000-60746.57</f>
        <v>239253.43</v>
      </c>
      <c r="G170" s="23">
        <f>1500000-1500000</f>
        <v>0</v>
      </c>
      <c r="H170" s="23">
        <f>1500000-1500000</f>
        <v>0</v>
      </c>
    </row>
    <row r="171" spans="1:9" ht="51" customHeight="1" x14ac:dyDescent="0.25">
      <c r="A171" s="25" t="s">
        <v>160</v>
      </c>
      <c r="B171" s="26" t="s">
        <v>85</v>
      </c>
      <c r="C171" s="26" t="s">
        <v>37</v>
      </c>
      <c r="D171" s="26" t="s">
        <v>161</v>
      </c>
      <c r="E171" s="26" t="s">
        <v>31</v>
      </c>
      <c r="F171" s="23">
        <f>6196945.31+2871522.64+3249979.49+380000-60000+16571.6+166105.73+99778.2+36600+1358088.08</f>
        <v>14315591.049999999</v>
      </c>
      <c r="G171" s="23">
        <f>6196945.31+2871522.64</f>
        <v>9068467.9499999993</v>
      </c>
      <c r="H171" s="23">
        <f>6196945.31+2871522.64</f>
        <v>9068467.9499999993</v>
      </c>
    </row>
    <row r="172" spans="1:9" ht="47.25" x14ac:dyDescent="0.25">
      <c r="A172" s="54" t="s">
        <v>72</v>
      </c>
      <c r="B172" s="22" t="s">
        <v>85</v>
      </c>
      <c r="C172" s="22" t="s">
        <v>73</v>
      </c>
      <c r="D172" s="26" t="s">
        <v>74</v>
      </c>
      <c r="E172" s="22" t="s">
        <v>10</v>
      </c>
      <c r="F172" s="24">
        <f>100000-30000</f>
        <v>70000</v>
      </c>
      <c r="G172" s="24">
        <v>100000</v>
      </c>
      <c r="H172" s="24">
        <v>100000</v>
      </c>
    </row>
    <row r="173" spans="1:9" ht="31.5" x14ac:dyDescent="0.25">
      <c r="A173" s="52" t="s">
        <v>162</v>
      </c>
      <c r="B173" s="26" t="s">
        <v>85</v>
      </c>
      <c r="C173" s="26" t="s">
        <v>163</v>
      </c>
      <c r="D173" s="26" t="s">
        <v>164</v>
      </c>
      <c r="E173" s="26" t="s">
        <v>47</v>
      </c>
      <c r="F173" s="23">
        <f>2036560.2+101191.98+53159.46+593356.81</f>
        <v>2784268.45</v>
      </c>
      <c r="G173" s="23">
        <v>2190911.64</v>
      </c>
      <c r="H173" s="23">
        <v>2190911.64</v>
      </c>
    </row>
    <row r="174" spans="1:9" ht="47.25" x14ac:dyDescent="0.25">
      <c r="A174" s="25" t="s">
        <v>205</v>
      </c>
      <c r="B174" s="51" t="s">
        <v>85</v>
      </c>
      <c r="C174" s="51" t="s">
        <v>165</v>
      </c>
      <c r="D174" s="22" t="s">
        <v>166</v>
      </c>
      <c r="E174" s="51" t="s">
        <v>47</v>
      </c>
      <c r="F174" s="53">
        <f>107005.5-107005.5</f>
        <v>0</v>
      </c>
      <c r="G174" s="53">
        <v>91719</v>
      </c>
      <c r="H174" s="53">
        <v>91719</v>
      </c>
    </row>
    <row r="175" spans="1:9" ht="78.75" x14ac:dyDescent="0.25">
      <c r="A175" s="34" t="s">
        <v>167</v>
      </c>
      <c r="B175" s="56" t="s">
        <v>85</v>
      </c>
      <c r="C175" s="56" t="s">
        <v>165</v>
      </c>
      <c r="D175" s="60" t="s">
        <v>168</v>
      </c>
      <c r="E175" s="56" t="s">
        <v>47</v>
      </c>
      <c r="F175" s="57">
        <f>91719-91719</f>
        <v>0</v>
      </c>
      <c r="G175" s="57">
        <v>36687.599999999999</v>
      </c>
      <c r="H175" s="57">
        <v>36687.599999999999</v>
      </c>
    </row>
    <row r="176" spans="1:9" ht="47.25" x14ac:dyDescent="0.25">
      <c r="A176" s="34" t="s">
        <v>169</v>
      </c>
      <c r="B176" s="29" t="s">
        <v>85</v>
      </c>
      <c r="C176" s="29" t="s">
        <v>165</v>
      </c>
      <c r="D176" s="29" t="s">
        <v>170</v>
      </c>
      <c r="E176" s="29" t="s">
        <v>31</v>
      </c>
      <c r="F176" s="30">
        <v>122500</v>
      </c>
      <c r="G176" s="30">
        <v>122500</v>
      </c>
      <c r="H176" s="30">
        <v>122500</v>
      </c>
    </row>
    <row r="177" spans="1:8" ht="63" x14ac:dyDescent="0.25">
      <c r="A177" s="34" t="s">
        <v>171</v>
      </c>
      <c r="B177" s="29" t="s">
        <v>85</v>
      </c>
      <c r="C177" s="29" t="s">
        <v>55</v>
      </c>
      <c r="D177" s="29" t="s">
        <v>279</v>
      </c>
      <c r="E177" s="29" t="s">
        <v>172</v>
      </c>
      <c r="F177" s="30">
        <f>1700808.75+12367-12367+111927+466476.25</f>
        <v>2279212</v>
      </c>
      <c r="G177" s="30">
        <v>2584684.7400000002</v>
      </c>
      <c r="H177" s="30">
        <v>3288681</v>
      </c>
    </row>
    <row r="178" spans="1:8" ht="63" x14ac:dyDescent="0.25">
      <c r="A178" s="34" t="s">
        <v>171</v>
      </c>
      <c r="B178" s="29" t="s">
        <v>85</v>
      </c>
      <c r="C178" s="29" t="s">
        <v>55</v>
      </c>
      <c r="D178" s="29" t="s">
        <v>262</v>
      </c>
      <c r="E178" s="29" t="s">
        <v>172</v>
      </c>
      <c r="F178" s="30">
        <f>2797035.75-1700808.75+12367-111927</f>
        <v>996667</v>
      </c>
      <c r="G178" s="30">
        <f>3705004.64-2584684.74</f>
        <v>1120319.8999999999</v>
      </c>
      <c r="H178" s="30">
        <f>4421448.9-3288681</f>
        <v>1132767.9000000004</v>
      </c>
    </row>
    <row r="179" spans="1:8" ht="94.5" x14ac:dyDescent="0.25">
      <c r="A179" s="34" t="s">
        <v>304</v>
      </c>
      <c r="B179" s="29" t="s">
        <v>85</v>
      </c>
      <c r="C179" s="29" t="s">
        <v>302</v>
      </c>
      <c r="D179" s="29" t="s">
        <v>303</v>
      </c>
      <c r="E179" s="29" t="s">
        <v>31</v>
      </c>
      <c r="F179" s="30">
        <v>160000</v>
      </c>
      <c r="G179" s="30">
        <v>150000</v>
      </c>
      <c r="H179" s="30">
        <v>150000</v>
      </c>
    </row>
    <row r="180" spans="1:8" ht="47.25" x14ac:dyDescent="0.25">
      <c r="A180" s="34" t="s">
        <v>173</v>
      </c>
      <c r="B180" s="29" t="s">
        <v>85</v>
      </c>
      <c r="C180" s="29" t="s">
        <v>174</v>
      </c>
      <c r="D180" s="29" t="s">
        <v>175</v>
      </c>
      <c r="E180" s="29" t="s">
        <v>10</v>
      </c>
      <c r="F180" s="30">
        <f>100000</f>
        <v>100000</v>
      </c>
      <c r="G180" s="30">
        <f t="shared" ref="G180:H180" si="8">100000</f>
        <v>100000</v>
      </c>
      <c r="H180" s="30">
        <f t="shared" si="8"/>
        <v>100000</v>
      </c>
    </row>
    <row r="181" spans="1:8" ht="47.25" x14ac:dyDescent="0.25">
      <c r="A181" s="34" t="s">
        <v>217</v>
      </c>
      <c r="B181" s="29" t="s">
        <v>85</v>
      </c>
      <c r="C181" s="29" t="s">
        <v>174</v>
      </c>
      <c r="D181" s="29" t="s">
        <v>216</v>
      </c>
      <c r="E181" s="29" t="s">
        <v>12</v>
      </c>
      <c r="F181" s="30">
        <v>700000</v>
      </c>
      <c r="G181" s="30">
        <v>700000</v>
      </c>
      <c r="H181" s="30">
        <v>700000</v>
      </c>
    </row>
    <row r="182" spans="1:8" ht="15.75" x14ac:dyDescent="0.25">
      <c r="A182" s="61" t="s">
        <v>176</v>
      </c>
      <c r="B182" s="19"/>
      <c r="C182" s="19"/>
      <c r="D182" s="19"/>
      <c r="E182" s="19"/>
      <c r="F182" s="46">
        <f>F6+F79+F87+F92</f>
        <v>699322787.35000026</v>
      </c>
      <c r="G182" s="46">
        <f>G6+G79+G87+G92</f>
        <v>525708974.94</v>
      </c>
      <c r="H182" s="46">
        <f>H6+H79+H87+H92</f>
        <v>568096471.88</v>
      </c>
    </row>
    <row r="183" spans="1:8" x14ac:dyDescent="0.25">
      <c r="A183" s="62"/>
      <c r="B183" s="62"/>
      <c r="C183" s="62"/>
      <c r="D183" s="62"/>
      <c r="E183" s="62"/>
      <c r="F183" s="62"/>
      <c r="G183" s="62"/>
      <c r="H183" s="62"/>
    </row>
  </sheetData>
  <mergeCells count="4">
    <mergeCell ref="A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Декабрь внеочеред</vt:lpstr>
      <vt:lpstr>'Декабрь внеочеред'!Область_печати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2024-12-20T06:56:14Z</cp:lastPrinted>
  <dcterms:created xsi:type="dcterms:W3CDTF">2021-01-26T11:28:42Z</dcterms:created>
  <dcterms:modified xsi:type="dcterms:W3CDTF">2025-01-14T10:04:25Z</dcterms:modified>
</cp:coreProperties>
</file>